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FK\"/>
    </mc:Choice>
  </mc:AlternateContent>
  <xr:revisionPtr revIDLastSave="0" documentId="13_ncr:1_{29941979-EA44-4FB2-B93C-750A8E5E47E8}" xr6:coauthVersionLast="47" xr6:coauthVersionMax="47" xr10:uidLastSave="{00000000-0000-0000-0000-000000000000}"/>
  <bookViews>
    <workbookView xWindow="-98" yWindow="-98" windowWidth="21795" windowHeight="12975" tabRatio="709" firstSheet="4" activeTab="12" xr2:uid="{00000000-000D-0000-FFFF-FFFF00000000}"/>
  </bookViews>
  <sheets>
    <sheet name="Kontrol (2)" sheetId="107" r:id="rId1"/>
    <sheet name="JANUARI" sheetId="71" r:id="rId2"/>
    <sheet name="PEBRUARI" sheetId="109" r:id="rId3"/>
    <sheet name="MARET" sheetId="110" r:id="rId4"/>
    <sheet name="APRIL" sheetId="111" r:id="rId5"/>
    <sheet name="MEI" sheetId="112" r:id="rId6"/>
    <sheet name="JUNI" sheetId="113" r:id="rId7"/>
    <sheet name="JULI" sheetId="114" r:id="rId8"/>
    <sheet name="AGUSTUS" sheetId="115" r:id="rId9"/>
    <sheet name="SEPTEMBER" sheetId="117" r:id="rId10"/>
    <sheet name="OKTOBER" sheetId="118" r:id="rId11"/>
    <sheet name="NOPEMBER" sheetId="121" r:id="rId12"/>
    <sheet name="DESEMBER" sheetId="123" r:id="rId13"/>
    <sheet name="AGUS 2" sheetId="116" state="hidden" r:id="rId14"/>
  </sheets>
  <definedNames>
    <definedName name="_xlnm.Print_Titles" localSheetId="1">JANUARI!$8:$12</definedName>
    <definedName name="_xlnm.Print_Titles" localSheetId="3">MARET!$8:$12</definedName>
    <definedName name="_xlnm.Print_Titles" localSheetId="2">PEBRUARI!$8:$12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9" i="123" l="1"/>
  <c r="V20" i="123"/>
  <c r="Q46" i="123"/>
  <c r="S15" i="123"/>
  <c r="F60" i="123"/>
  <c r="W51" i="123"/>
  <c r="Y51" i="123" s="1"/>
  <c r="V51" i="123"/>
  <c r="V50" i="123" s="1"/>
  <c r="W50" i="123" s="1"/>
  <c r="S51" i="123"/>
  <c r="R50" i="123"/>
  <c r="S50" i="123" s="1"/>
  <c r="H50" i="123"/>
  <c r="W49" i="123"/>
  <c r="Y49" i="123" s="1"/>
  <c r="S49" i="123"/>
  <c r="W48" i="123"/>
  <c r="Y48" i="123" s="1"/>
  <c r="S48" i="123"/>
  <c r="V47" i="123"/>
  <c r="W47" i="123" s="1"/>
  <c r="S47" i="123"/>
  <c r="R46" i="123"/>
  <c r="H46" i="123"/>
  <c r="Y44" i="123"/>
  <c r="W44" i="123"/>
  <c r="X44" i="123" s="1"/>
  <c r="S44" i="123"/>
  <c r="V43" i="123"/>
  <c r="W43" i="123" s="1"/>
  <c r="R43" i="123"/>
  <c r="S43" i="123" s="1"/>
  <c r="H43" i="123"/>
  <c r="V42" i="123"/>
  <c r="S42" i="123"/>
  <c r="W41" i="123"/>
  <c r="X41" i="123" s="1"/>
  <c r="S41" i="123"/>
  <c r="R40" i="123"/>
  <c r="S40" i="123" s="1"/>
  <c r="H40" i="123"/>
  <c r="H35" i="123" s="1"/>
  <c r="W39" i="123"/>
  <c r="Y39" i="123" s="1"/>
  <c r="S39" i="123"/>
  <c r="W38" i="123"/>
  <c r="X38" i="123" s="1"/>
  <c r="S38" i="123"/>
  <c r="V37" i="123"/>
  <c r="W37" i="123" s="1"/>
  <c r="S37" i="123"/>
  <c r="V36" i="123"/>
  <c r="R36" i="123"/>
  <c r="S36" i="123" s="1"/>
  <c r="H36" i="123"/>
  <c r="W34" i="123"/>
  <c r="Y34" i="123" s="1"/>
  <c r="S34" i="123"/>
  <c r="W33" i="123"/>
  <c r="Y33" i="123" s="1"/>
  <c r="S33" i="123"/>
  <c r="W32" i="123"/>
  <c r="Y32" i="123" s="1"/>
  <c r="S32" i="123"/>
  <c r="V31" i="123"/>
  <c r="W31" i="123" s="1"/>
  <c r="X31" i="123" s="1"/>
  <c r="R31" i="123"/>
  <c r="S31" i="123" s="1"/>
  <c r="H31" i="123"/>
  <c r="Y31" i="123" s="1"/>
  <c r="W30" i="123"/>
  <c r="X30" i="123" s="1"/>
  <c r="S30" i="123"/>
  <c r="W29" i="123"/>
  <c r="X29" i="123" s="1"/>
  <c r="S29" i="123"/>
  <c r="W28" i="123"/>
  <c r="V28" i="123"/>
  <c r="R28" i="123"/>
  <c r="S28" i="123" s="1"/>
  <c r="H28" i="123"/>
  <c r="Y28" i="123" s="1"/>
  <c r="W27" i="123"/>
  <c r="Y27" i="123" s="1"/>
  <c r="S27" i="123"/>
  <c r="W26" i="123"/>
  <c r="Y26" i="123" s="1"/>
  <c r="S26" i="123"/>
  <c r="W25" i="123"/>
  <c r="Y25" i="123" s="1"/>
  <c r="S25" i="123"/>
  <c r="W24" i="123"/>
  <c r="Y24" i="123" s="1"/>
  <c r="S24" i="123"/>
  <c r="V23" i="123"/>
  <c r="S23" i="123"/>
  <c r="W22" i="123"/>
  <c r="X22" i="123" s="1"/>
  <c r="S22" i="123"/>
  <c r="R21" i="123"/>
  <c r="S21" i="123" s="1"/>
  <c r="H21" i="123"/>
  <c r="W20" i="123"/>
  <c r="Y20" i="123" s="1"/>
  <c r="S20" i="123"/>
  <c r="V19" i="123"/>
  <c r="W19" i="123" s="1"/>
  <c r="R19" i="123"/>
  <c r="S19" i="123" s="1"/>
  <c r="H19" i="123"/>
  <c r="Y19" i="123" s="1"/>
  <c r="W18" i="123"/>
  <c r="X18" i="123" s="1"/>
  <c r="S18" i="123"/>
  <c r="W17" i="123"/>
  <c r="X17" i="123" s="1"/>
  <c r="S17" i="123"/>
  <c r="V16" i="123"/>
  <c r="W16" i="123" s="1"/>
  <c r="X16" i="123" s="1"/>
  <c r="R16" i="123"/>
  <c r="S16" i="123" s="1"/>
  <c r="H16" i="123"/>
  <c r="X39" i="123" l="1"/>
  <c r="Y50" i="123"/>
  <c r="X37" i="123"/>
  <c r="Y37" i="123"/>
  <c r="X24" i="123"/>
  <c r="Y41" i="123"/>
  <c r="X27" i="123"/>
  <c r="X34" i="123"/>
  <c r="X25" i="123"/>
  <c r="X20" i="123"/>
  <c r="X50" i="123"/>
  <c r="X32" i="123"/>
  <c r="Y30" i="123"/>
  <c r="X19" i="123"/>
  <c r="X26" i="123"/>
  <c r="X33" i="123"/>
  <c r="Y16" i="123"/>
  <c r="Y17" i="123"/>
  <c r="Y18" i="123"/>
  <c r="W42" i="123"/>
  <c r="V40" i="123"/>
  <c r="W40" i="123" s="1"/>
  <c r="X40" i="123" s="1"/>
  <c r="X43" i="123"/>
  <c r="S46" i="123"/>
  <c r="S45" i="123" s="1"/>
  <c r="R45" i="123"/>
  <c r="X47" i="123"/>
  <c r="Y47" i="123"/>
  <c r="H15" i="123"/>
  <c r="R15" i="123"/>
  <c r="Y22" i="123"/>
  <c r="W23" i="123"/>
  <c r="V21" i="123"/>
  <c r="X28" i="123"/>
  <c r="Y29" i="123"/>
  <c r="R35" i="123"/>
  <c r="S35" i="123" s="1"/>
  <c r="W36" i="123"/>
  <c r="X36" i="123" s="1"/>
  <c r="Y38" i="123"/>
  <c r="Y40" i="123"/>
  <c r="Y43" i="123"/>
  <c r="H45" i="123"/>
  <c r="V46" i="123"/>
  <c r="X49" i="123"/>
  <c r="X51" i="123"/>
  <c r="V35" i="123" l="1"/>
  <c r="W35" i="123" s="1"/>
  <c r="X35" i="123" s="1"/>
  <c r="Y36" i="123"/>
  <c r="W46" i="123"/>
  <c r="V45" i="123"/>
  <c r="W45" i="123" s="1"/>
  <c r="X45" i="123" s="1"/>
  <c r="Y23" i="123"/>
  <c r="X23" i="123"/>
  <c r="R14" i="123"/>
  <c r="Y35" i="123"/>
  <c r="Y45" i="123"/>
  <c r="W21" i="123"/>
  <c r="V15" i="123"/>
  <c r="H52" i="123"/>
  <c r="H14" i="123"/>
  <c r="Y42" i="123"/>
  <c r="X42" i="123"/>
  <c r="P15" i="123" l="1"/>
  <c r="T15" i="123" s="1"/>
  <c r="P52" i="123"/>
  <c r="P51" i="123"/>
  <c r="T51" i="123" s="1"/>
  <c r="P50" i="123"/>
  <c r="T50" i="123" s="1"/>
  <c r="P48" i="123"/>
  <c r="T48" i="123" s="1"/>
  <c r="P49" i="123"/>
  <c r="T49" i="123" s="1"/>
  <c r="P47" i="123"/>
  <c r="T47" i="123" s="1"/>
  <c r="P44" i="123"/>
  <c r="T44" i="123" s="1"/>
  <c r="P42" i="123"/>
  <c r="T42" i="123" s="1"/>
  <c r="P41" i="123"/>
  <c r="T41" i="123" s="1"/>
  <c r="P39" i="123"/>
  <c r="T39" i="123" s="1"/>
  <c r="P38" i="123"/>
  <c r="T38" i="123" s="1"/>
  <c r="P30" i="123"/>
  <c r="T30" i="123" s="1"/>
  <c r="P29" i="123"/>
  <c r="T29" i="123" s="1"/>
  <c r="P23" i="123"/>
  <c r="T23" i="123" s="1"/>
  <c r="P22" i="123"/>
  <c r="T22" i="123" s="1"/>
  <c r="P37" i="123"/>
  <c r="T37" i="123" s="1"/>
  <c r="P34" i="123"/>
  <c r="T34" i="123" s="1"/>
  <c r="P32" i="123"/>
  <c r="T32" i="123" s="1"/>
  <c r="P26" i="123"/>
  <c r="T26" i="123" s="1"/>
  <c r="P24" i="123"/>
  <c r="T24" i="123" s="1"/>
  <c r="P18" i="123"/>
  <c r="T18" i="123" s="1"/>
  <c r="P17" i="123"/>
  <c r="T17" i="123" s="1"/>
  <c r="P36" i="123"/>
  <c r="T36" i="123" s="1"/>
  <c r="P33" i="123"/>
  <c r="T33" i="123" s="1"/>
  <c r="P31" i="123"/>
  <c r="T31" i="123" s="1"/>
  <c r="P27" i="123"/>
  <c r="T27" i="123" s="1"/>
  <c r="P25" i="123"/>
  <c r="T25" i="123" s="1"/>
  <c r="P20" i="123"/>
  <c r="T20" i="123" s="1"/>
  <c r="P19" i="123"/>
  <c r="T19" i="123" s="1"/>
  <c r="P16" i="123"/>
  <c r="T16" i="123" s="1"/>
  <c r="P35" i="123"/>
  <c r="T35" i="123" s="1"/>
  <c r="P43" i="123"/>
  <c r="T43" i="123" s="1"/>
  <c r="P21" i="123"/>
  <c r="T21" i="123" s="1"/>
  <c r="P28" i="123"/>
  <c r="T28" i="123" s="1"/>
  <c r="P40" i="123"/>
  <c r="T40" i="123" s="1"/>
  <c r="P46" i="123"/>
  <c r="T46" i="123" s="1"/>
  <c r="X21" i="123"/>
  <c r="Y21" i="123"/>
  <c r="P14" i="123"/>
  <c r="H13" i="123"/>
  <c r="P13" i="123" s="1"/>
  <c r="V52" i="123"/>
  <c r="W52" i="123" s="1"/>
  <c r="X52" i="123" s="1"/>
  <c r="W15" i="123"/>
  <c r="V14" i="123"/>
  <c r="W14" i="123" s="1"/>
  <c r="X14" i="123" s="1"/>
  <c r="P45" i="123"/>
  <c r="T45" i="123" s="1"/>
  <c r="R52" i="123"/>
  <c r="S14" i="123"/>
  <c r="S52" i="123" s="1"/>
  <c r="X46" i="123"/>
  <c r="Y46" i="123"/>
  <c r="Y14" i="123" l="1"/>
  <c r="X15" i="123"/>
  <c r="Y15" i="123"/>
  <c r="T14" i="123"/>
  <c r="T52" i="123" s="1"/>
  <c r="Y52" i="123"/>
  <c r="V30" i="121" l="1"/>
  <c r="V20" i="121"/>
  <c r="V19" i="121" s="1"/>
  <c r="W19" i="121" s="1"/>
  <c r="V21" i="121"/>
  <c r="W21" i="121" s="1"/>
  <c r="V28" i="121"/>
  <c r="W28" i="121" s="1"/>
  <c r="V31" i="121"/>
  <c r="V36" i="121"/>
  <c r="V40" i="121"/>
  <c r="V43" i="121"/>
  <c r="W43" i="121" s="1"/>
  <c r="V46" i="121"/>
  <c r="V50" i="121"/>
  <c r="W50" i="121" s="1"/>
  <c r="W32" i="121"/>
  <c r="W24" i="121"/>
  <c r="S51" i="121"/>
  <c r="S49" i="121"/>
  <c r="S29" i="121"/>
  <c r="S27" i="121"/>
  <c r="S25" i="121"/>
  <c r="S23" i="121"/>
  <c r="S17" i="121"/>
  <c r="F58" i="121"/>
  <c r="W51" i="121"/>
  <c r="Y51" i="121" s="1"/>
  <c r="R50" i="121"/>
  <c r="S50" i="121" s="1"/>
  <c r="H50" i="121"/>
  <c r="W49" i="121"/>
  <c r="X49" i="121" s="1"/>
  <c r="W48" i="121"/>
  <c r="Y48" i="121" s="1"/>
  <c r="S48" i="121"/>
  <c r="W47" i="121"/>
  <c r="S47" i="121"/>
  <c r="R46" i="121"/>
  <c r="S46" i="121" s="1"/>
  <c r="H46" i="121"/>
  <c r="W44" i="121"/>
  <c r="X44" i="121" s="1"/>
  <c r="S44" i="121"/>
  <c r="R43" i="121"/>
  <c r="H43" i="121"/>
  <c r="W42" i="121"/>
  <c r="Y42" i="121" s="1"/>
  <c r="S42" i="121"/>
  <c r="W41" i="121"/>
  <c r="Y41" i="121" s="1"/>
  <c r="S41" i="121"/>
  <c r="W40" i="121"/>
  <c r="R40" i="121"/>
  <c r="S40" i="121" s="1"/>
  <c r="H40" i="121"/>
  <c r="H35" i="121" s="1"/>
  <c r="W39" i="121"/>
  <c r="X39" i="121" s="1"/>
  <c r="S39" i="121"/>
  <c r="W38" i="121"/>
  <c r="Y38" i="121" s="1"/>
  <c r="S38" i="121"/>
  <c r="W37" i="121"/>
  <c r="Y37" i="121" s="1"/>
  <c r="S37" i="121"/>
  <c r="R36" i="121"/>
  <c r="S36" i="121" s="1"/>
  <c r="H36" i="121"/>
  <c r="W34" i="121"/>
  <c r="Y34" i="121" s="1"/>
  <c r="S34" i="121"/>
  <c r="W33" i="121"/>
  <c r="Y33" i="121" s="1"/>
  <c r="S33" i="121"/>
  <c r="S32" i="121"/>
  <c r="W31" i="121"/>
  <c r="R31" i="121"/>
  <c r="S31" i="121" s="1"/>
  <c r="H31" i="121"/>
  <c r="W30" i="121"/>
  <c r="X30" i="121" s="1"/>
  <c r="S30" i="121"/>
  <c r="W29" i="121"/>
  <c r="X29" i="121" s="1"/>
  <c r="R28" i="121"/>
  <c r="S28" i="121" s="1"/>
  <c r="H28" i="121"/>
  <c r="W27" i="121"/>
  <c r="Y27" i="121" s="1"/>
  <c r="W26" i="121"/>
  <c r="Y26" i="121" s="1"/>
  <c r="S26" i="121"/>
  <c r="W25" i="121"/>
  <c r="Y25" i="121" s="1"/>
  <c r="S24" i="121"/>
  <c r="W23" i="121"/>
  <c r="Y23" i="121" s="1"/>
  <c r="W22" i="121"/>
  <c r="Y22" i="121" s="1"/>
  <c r="S22" i="121"/>
  <c r="R21" i="121"/>
  <c r="S21" i="121" s="1"/>
  <c r="H21" i="121"/>
  <c r="S20" i="121"/>
  <c r="R19" i="121"/>
  <c r="S19" i="121" s="1"/>
  <c r="H19" i="121"/>
  <c r="H15" i="121" s="1"/>
  <c r="W18" i="121"/>
  <c r="X18" i="121" s="1"/>
  <c r="S18" i="121"/>
  <c r="W17" i="121"/>
  <c r="X17" i="121" s="1"/>
  <c r="V16" i="121"/>
  <c r="W16" i="121" s="1"/>
  <c r="R16" i="121"/>
  <c r="S16" i="121" s="1"/>
  <c r="H16" i="121"/>
  <c r="F58" i="118"/>
  <c r="V39" i="118"/>
  <c r="V35" i="121" l="1"/>
  <c r="X31" i="121"/>
  <c r="Y16" i="121"/>
  <c r="X50" i="121"/>
  <c r="X43" i="121"/>
  <c r="X40" i="121"/>
  <c r="Y28" i="121"/>
  <c r="X21" i="121"/>
  <c r="X19" i="121"/>
  <c r="R35" i="121"/>
  <c r="S35" i="121" s="1"/>
  <c r="V45" i="121"/>
  <c r="Y21" i="121"/>
  <c r="X25" i="121"/>
  <c r="Y39" i="121"/>
  <c r="W20" i="121"/>
  <c r="X20" i="121" s="1"/>
  <c r="Y20" i="121"/>
  <c r="Y24" i="121"/>
  <c r="X24" i="121"/>
  <c r="Y32" i="121"/>
  <c r="X32" i="121"/>
  <c r="V15" i="121"/>
  <c r="W15" i="121" s="1"/>
  <c r="X15" i="121" s="1"/>
  <c r="Y19" i="121"/>
  <c r="Y30" i="121"/>
  <c r="X34" i="121"/>
  <c r="X38" i="121"/>
  <c r="X42" i="121"/>
  <c r="X51" i="121"/>
  <c r="Y18" i="121"/>
  <c r="X22" i="121"/>
  <c r="X23" i="121"/>
  <c r="X26" i="121"/>
  <c r="X27" i="121"/>
  <c r="Y31" i="121"/>
  <c r="X33" i="121"/>
  <c r="X37" i="121"/>
  <c r="X41" i="121"/>
  <c r="Y50" i="121"/>
  <c r="S43" i="121"/>
  <c r="Y47" i="121"/>
  <c r="X47" i="121"/>
  <c r="R15" i="121"/>
  <c r="X16" i="121"/>
  <c r="Y17" i="121"/>
  <c r="X28" i="121"/>
  <c r="Y29" i="121"/>
  <c r="W36" i="121"/>
  <c r="X36" i="121" s="1"/>
  <c r="Y40" i="121"/>
  <c r="Y43" i="121"/>
  <c r="Y44" i="121"/>
  <c r="Y49" i="121"/>
  <c r="H45" i="121"/>
  <c r="R45" i="121"/>
  <c r="S45" i="121" s="1"/>
  <c r="J26" i="107"/>
  <c r="V52" i="121" l="1"/>
  <c r="W52" i="121" s="1"/>
  <c r="X52" i="121" s="1"/>
  <c r="W46" i="121"/>
  <c r="W45" i="121"/>
  <c r="X45" i="121" s="1"/>
  <c r="H14" i="121"/>
  <c r="W35" i="121"/>
  <c r="V14" i="121"/>
  <c r="W14" i="121" s="1"/>
  <c r="Y36" i="121"/>
  <c r="H52" i="121"/>
  <c r="S15" i="121"/>
  <c r="R14" i="121"/>
  <c r="Y15" i="121"/>
  <c r="V47" i="118"/>
  <c r="V46" i="118" s="1"/>
  <c r="V20" i="118"/>
  <c r="V16" i="118"/>
  <c r="W16" i="118" s="1"/>
  <c r="V19" i="118"/>
  <c r="V21" i="118"/>
  <c r="W21" i="118" s="1"/>
  <c r="V28" i="118"/>
  <c r="W28" i="118" s="1"/>
  <c r="V31" i="118"/>
  <c r="W31" i="118" s="1"/>
  <c r="V36" i="118"/>
  <c r="V40" i="118"/>
  <c r="W40" i="118" s="1"/>
  <c r="V43" i="118"/>
  <c r="W43" i="118" s="1"/>
  <c r="V50" i="118"/>
  <c r="W50" i="118" s="1"/>
  <c r="W39" i="118"/>
  <c r="X39" i="118" s="1"/>
  <c r="W33" i="118"/>
  <c r="Y33" i="118" s="1"/>
  <c r="W23" i="118"/>
  <c r="X23" i="118" s="1"/>
  <c r="S42" i="118"/>
  <c r="S30" i="118"/>
  <c r="S26" i="118"/>
  <c r="S22" i="118"/>
  <c r="S20" i="118"/>
  <c r="W51" i="118"/>
  <c r="X51" i="118" s="1"/>
  <c r="S51" i="118"/>
  <c r="R50" i="118"/>
  <c r="H50" i="118"/>
  <c r="W49" i="118"/>
  <c r="Y49" i="118" s="1"/>
  <c r="S49" i="118"/>
  <c r="W48" i="118"/>
  <c r="Y48" i="118" s="1"/>
  <c r="S48" i="118"/>
  <c r="S47" i="118"/>
  <c r="R46" i="118"/>
  <c r="S46" i="118" s="1"/>
  <c r="H46" i="118"/>
  <c r="H45" i="118" s="1"/>
  <c r="W44" i="118"/>
  <c r="Y44" i="118" s="1"/>
  <c r="S44" i="118"/>
  <c r="R43" i="118"/>
  <c r="S43" i="118" s="1"/>
  <c r="H43" i="118"/>
  <c r="W42" i="118"/>
  <c r="X42" i="118" s="1"/>
  <c r="W41" i="118"/>
  <c r="Y41" i="118" s="1"/>
  <c r="S41" i="118"/>
  <c r="R40" i="118"/>
  <c r="S40" i="118" s="1"/>
  <c r="H40" i="118"/>
  <c r="S39" i="118"/>
  <c r="W38" i="118"/>
  <c r="Y38" i="118" s="1"/>
  <c r="S38" i="118"/>
  <c r="W37" i="118"/>
  <c r="Y37" i="118" s="1"/>
  <c r="S37" i="118"/>
  <c r="R36" i="118"/>
  <c r="S36" i="118" s="1"/>
  <c r="H36" i="118"/>
  <c r="W34" i="118"/>
  <c r="Y34" i="118" s="1"/>
  <c r="S34" i="118"/>
  <c r="S33" i="118"/>
  <c r="W32" i="118"/>
  <c r="Y32" i="118" s="1"/>
  <c r="S32" i="118"/>
  <c r="R31" i="118"/>
  <c r="S31" i="118" s="1"/>
  <c r="H31" i="118"/>
  <c r="W30" i="118"/>
  <c r="X30" i="118" s="1"/>
  <c r="W29" i="118"/>
  <c r="Y29" i="118" s="1"/>
  <c r="S29" i="118"/>
  <c r="R28" i="118"/>
  <c r="S28" i="118" s="1"/>
  <c r="H28" i="118"/>
  <c r="W27" i="118"/>
  <c r="X27" i="118" s="1"/>
  <c r="S27" i="118"/>
  <c r="W26" i="118"/>
  <c r="X26" i="118" s="1"/>
  <c r="W25" i="118"/>
  <c r="X25" i="118" s="1"/>
  <c r="S25" i="118"/>
  <c r="W24" i="118"/>
  <c r="X24" i="118" s="1"/>
  <c r="S24" i="118"/>
  <c r="S23" i="118"/>
  <c r="W22" i="118"/>
  <c r="X22" i="118" s="1"/>
  <c r="R21" i="118"/>
  <c r="S21" i="118" s="1"/>
  <c r="H21" i="118"/>
  <c r="R19" i="118"/>
  <c r="S19" i="118" s="1"/>
  <c r="H19" i="118"/>
  <c r="W18" i="118"/>
  <c r="Y18" i="118" s="1"/>
  <c r="S18" i="118"/>
  <c r="W17" i="118"/>
  <c r="Y17" i="118" s="1"/>
  <c r="S17" i="118"/>
  <c r="R16" i="118"/>
  <c r="S16" i="118" s="1"/>
  <c r="H16" i="118"/>
  <c r="R45" i="118" l="1"/>
  <c r="S45" i="118" s="1"/>
  <c r="X43" i="118"/>
  <c r="X14" i="121"/>
  <c r="W47" i="118"/>
  <c r="H35" i="118"/>
  <c r="R52" i="121"/>
  <c r="S14" i="121"/>
  <c r="S52" i="121" s="1"/>
  <c r="P52" i="121"/>
  <c r="P49" i="121"/>
  <c r="T49" i="121" s="1"/>
  <c r="P47" i="121"/>
  <c r="T47" i="121" s="1"/>
  <c r="P44" i="121"/>
  <c r="T44" i="121" s="1"/>
  <c r="P30" i="121"/>
  <c r="T30" i="121" s="1"/>
  <c r="P29" i="121"/>
  <c r="T29" i="121" s="1"/>
  <c r="P18" i="121"/>
  <c r="T18" i="121" s="1"/>
  <c r="P17" i="121"/>
  <c r="T17" i="121" s="1"/>
  <c r="Y52" i="121"/>
  <c r="P51" i="121"/>
  <c r="T51" i="121" s="1"/>
  <c r="P50" i="121"/>
  <c r="T50" i="121" s="1"/>
  <c r="P48" i="121"/>
  <c r="T48" i="121" s="1"/>
  <c r="P42" i="121"/>
  <c r="T42" i="121" s="1"/>
  <c r="P41" i="121"/>
  <c r="T41" i="121" s="1"/>
  <c r="P40" i="121"/>
  <c r="T40" i="121" s="1"/>
  <c r="P39" i="121"/>
  <c r="T39" i="121" s="1"/>
  <c r="P37" i="121"/>
  <c r="T37" i="121" s="1"/>
  <c r="P34" i="121"/>
  <c r="T34" i="121" s="1"/>
  <c r="P32" i="121"/>
  <c r="T32" i="121" s="1"/>
  <c r="P26" i="121"/>
  <c r="T26" i="121" s="1"/>
  <c r="P24" i="121"/>
  <c r="T24" i="121" s="1"/>
  <c r="P22" i="121"/>
  <c r="T22" i="121" s="1"/>
  <c r="P20" i="121"/>
  <c r="T20" i="121" s="1"/>
  <c r="P15" i="121"/>
  <c r="T15" i="121" s="1"/>
  <c r="P38" i="121"/>
  <c r="T38" i="121" s="1"/>
  <c r="P36" i="121"/>
  <c r="T36" i="121" s="1"/>
  <c r="P33" i="121"/>
  <c r="T33" i="121" s="1"/>
  <c r="P31" i="121"/>
  <c r="T31" i="121" s="1"/>
  <c r="P27" i="121"/>
  <c r="T27" i="121" s="1"/>
  <c r="P25" i="121"/>
  <c r="T25" i="121" s="1"/>
  <c r="P23" i="121"/>
  <c r="T23" i="121" s="1"/>
  <c r="P21" i="121"/>
  <c r="T21" i="121" s="1"/>
  <c r="P19" i="121"/>
  <c r="T19" i="121" s="1"/>
  <c r="P35" i="121"/>
  <c r="T35" i="121" s="1"/>
  <c r="P28" i="121"/>
  <c r="T28" i="121" s="1"/>
  <c r="P46" i="121"/>
  <c r="T46" i="121" s="1"/>
  <c r="P16" i="121"/>
  <c r="T16" i="121" s="1"/>
  <c r="P43" i="121"/>
  <c r="T43" i="121" s="1"/>
  <c r="X35" i="121"/>
  <c r="Y35" i="121"/>
  <c r="P45" i="121"/>
  <c r="T45" i="121" s="1"/>
  <c r="P14" i="121"/>
  <c r="Y14" i="121"/>
  <c r="H13" i="121"/>
  <c r="P13" i="121" s="1"/>
  <c r="Y45" i="121"/>
  <c r="X46" i="121"/>
  <c r="Y46" i="121"/>
  <c r="R35" i="118"/>
  <c r="S35" i="118" s="1"/>
  <c r="V45" i="118"/>
  <c r="Y50" i="118"/>
  <c r="X40" i="118"/>
  <c r="X31" i="118"/>
  <c r="X28" i="118"/>
  <c r="X16" i="118"/>
  <c r="V35" i="118"/>
  <c r="Y24" i="118"/>
  <c r="Y26" i="118"/>
  <c r="Y30" i="118"/>
  <c r="X34" i="118"/>
  <c r="Y40" i="118"/>
  <c r="Y47" i="118"/>
  <c r="X47" i="118"/>
  <c r="X18" i="118"/>
  <c r="X32" i="118"/>
  <c r="X37" i="118"/>
  <c r="X41" i="118"/>
  <c r="X49" i="118"/>
  <c r="Y16" i="118"/>
  <c r="X17" i="118"/>
  <c r="Y22" i="118"/>
  <c r="Y28" i="118"/>
  <c r="X29" i="118"/>
  <c r="Y31" i="118"/>
  <c r="X33" i="118"/>
  <c r="X38" i="118"/>
  <c r="Y39" i="118"/>
  <c r="Y43" i="118"/>
  <c r="X44" i="118"/>
  <c r="S50" i="118"/>
  <c r="W20" i="118"/>
  <c r="X21" i="118"/>
  <c r="W46" i="118"/>
  <c r="X46" i="118" s="1"/>
  <c r="W45" i="118"/>
  <c r="X45" i="118" s="1"/>
  <c r="H15" i="118"/>
  <c r="R15" i="118"/>
  <c r="Y21" i="118"/>
  <c r="Y23" i="118"/>
  <c r="Y25" i="118"/>
  <c r="Y27" i="118"/>
  <c r="W36" i="118"/>
  <c r="X36" i="118" s="1"/>
  <c r="W35" i="118"/>
  <c r="Y42" i="118"/>
  <c r="X50" i="118"/>
  <c r="Y51" i="118"/>
  <c r="X35" i="118" l="1"/>
  <c r="T14" i="121"/>
  <c r="T52" i="121" s="1"/>
  <c r="Y46" i="118"/>
  <c r="Y36" i="118"/>
  <c r="S15" i="118"/>
  <c r="R14" i="118"/>
  <c r="Y20" i="118"/>
  <c r="X20" i="118"/>
  <c r="Y45" i="118"/>
  <c r="H52" i="118"/>
  <c r="P15" i="118" s="1"/>
  <c r="H14" i="118"/>
  <c r="Y35" i="118"/>
  <c r="W19" i="118"/>
  <c r="V15" i="118"/>
  <c r="V52" i="118" s="1"/>
  <c r="I26" i="107"/>
  <c r="F58" i="117"/>
  <c r="V39" i="117"/>
  <c r="X19" i="118" l="1"/>
  <c r="Y19" i="118"/>
  <c r="P14" i="118"/>
  <c r="H13" i="118"/>
  <c r="P13" i="118" s="1"/>
  <c r="W15" i="118"/>
  <c r="V14" i="118"/>
  <c r="W14" i="118" s="1"/>
  <c r="X14" i="118" s="1"/>
  <c r="W52" i="118"/>
  <c r="X52" i="118" s="1"/>
  <c r="T15" i="118"/>
  <c r="Y52" i="118"/>
  <c r="P51" i="118"/>
  <c r="T51" i="118" s="1"/>
  <c r="P49" i="118"/>
  <c r="T49" i="118" s="1"/>
  <c r="P27" i="118"/>
  <c r="T27" i="118" s="1"/>
  <c r="P26" i="118"/>
  <c r="T26" i="118" s="1"/>
  <c r="P25" i="118"/>
  <c r="T25" i="118" s="1"/>
  <c r="P24" i="118"/>
  <c r="T24" i="118" s="1"/>
  <c r="P23" i="118"/>
  <c r="T23" i="118" s="1"/>
  <c r="P22" i="118"/>
  <c r="T22" i="118" s="1"/>
  <c r="P20" i="118"/>
  <c r="T20" i="118" s="1"/>
  <c r="P48" i="118"/>
  <c r="T48" i="118" s="1"/>
  <c r="P46" i="118"/>
  <c r="T46" i="118" s="1"/>
  <c r="P43" i="118"/>
  <c r="T43" i="118" s="1"/>
  <c r="P41" i="118"/>
  <c r="T41" i="118" s="1"/>
  <c r="P39" i="118"/>
  <c r="T39" i="118" s="1"/>
  <c r="P37" i="118"/>
  <c r="T37" i="118" s="1"/>
  <c r="P34" i="118"/>
  <c r="T34" i="118" s="1"/>
  <c r="P32" i="118"/>
  <c r="T32" i="118" s="1"/>
  <c r="P30" i="118"/>
  <c r="T30" i="118" s="1"/>
  <c r="P28" i="118"/>
  <c r="T28" i="118" s="1"/>
  <c r="P18" i="118"/>
  <c r="T18" i="118" s="1"/>
  <c r="P52" i="118"/>
  <c r="P47" i="118"/>
  <c r="T47" i="118" s="1"/>
  <c r="P44" i="118"/>
  <c r="T44" i="118" s="1"/>
  <c r="P42" i="118"/>
  <c r="T42" i="118" s="1"/>
  <c r="P40" i="118"/>
  <c r="T40" i="118" s="1"/>
  <c r="P38" i="118"/>
  <c r="T38" i="118" s="1"/>
  <c r="P36" i="118"/>
  <c r="T36" i="118" s="1"/>
  <c r="P33" i="118"/>
  <c r="T33" i="118" s="1"/>
  <c r="P31" i="118"/>
  <c r="T31" i="118" s="1"/>
  <c r="P29" i="118"/>
  <c r="T29" i="118" s="1"/>
  <c r="P17" i="118"/>
  <c r="T17" i="118" s="1"/>
  <c r="P16" i="118"/>
  <c r="T16" i="118" s="1"/>
  <c r="P19" i="118"/>
  <c r="T19" i="118" s="1"/>
  <c r="P21" i="118"/>
  <c r="T21" i="118" s="1"/>
  <c r="P35" i="118"/>
  <c r="T35" i="118" s="1"/>
  <c r="P45" i="118"/>
  <c r="T45" i="118" s="1"/>
  <c r="P50" i="118"/>
  <c r="T50" i="118" s="1"/>
  <c r="R52" i="118"/>
  <c r="S14" i="118"/>
  <c r="S52" i="118" s="1"/>
  <c r="V49" i="117"/>
  <c r="V42" i="117"/>
  <c r="V36" i="117"/>
  <c r="V20" i="117"/>
  <c r="W23" i="117"/>
  <c r="Y23" i="117" s="1"/>
  <c r="W25" i="117"/>
  <c r="Y25" i="117" s="1"/>
  <c r="V30" i="117"/>
  <c r="W30" i="117" s="1"/>
  <c r="Y30" i="117" s="1"/>
  <c r="V31" i="117"/>
  <c r="V40" i="117"/>
  <c r="W40" i="117" s="1"/>
  <c r="X40" i="117" s="1"/>
  <c r="V43" i="117"/>
  <c r="V46" i="117"/>
  <c r="V50" i="117"/>
  <c r="W50" i="117" s="1"/>
  <c r="X50" i="117" s="1"/>
  <c r="W51" i="117"/>
  <c r="Y51" i="117" s="1"/>
  <c r="W29" i="117"/>
  <c r="X29" i="117" s="1"/>
  <c r="W27" i="117"/>
  <c r="X27" i="117" s="1"/>
  <c r="S51" i="117"/>
  <c r="R50" i="117"/>
  <c r="S50" i="117" s="1"/>
  <c r="H50" i="117"/>
  <c r="W49" i="117"/>
  <c r="Y49" i="117" s="1"/>
  <c r="S49" i="117"/>
  <c r="W48" i="117"/>
  <c r="Y48" i="117" s="1"/>
  <c r="S48" i="117"/>
  <c r="W47" i="117"/>
  <c r="Y47" i="117" s="1"/>
  <c r="S47" i="117"/>
  <c r="R46" i="117"/>
  <c r="S46" i="117" s="1"/>
  <c r="H46" i="117"/>
  <c r="R45" i="117"/>
  <c r="S45" i="117" s="1"/>
  <c r="H45" i="117"/>
  <c r="W44" i="117"/>
  <c r="Y44" i="117" s="1"/>
  <c r="S44" i="117"/>
  <c r="W43" i="117"/>
  <c r="X43" i="117" s="1"/>
  <c r="S43" i="117"/>
  <c r="R43" i="117"/>
  <c r="H43" i="117"/>
  <c r="W42" i="117"/>
  <c r="S42" i="117"/>
  <c r="W41" i="117"/>
  <c r="Y41" i="117" s="1"/>
  <c r="S41" i="117"/>
  <c r="R40" i="117"/>
  <c r="S40" i="117" s="1"/>
  <c r="H40" i="117"/>
  <c r="W39" i="117"/>
  <c r="Y39" i="117" s="1"/>
  <c r="S39" i="117"/>
  <c r="W38" i="117"/>
  <c r="Y38" i="117" s="1"/>
  <c r="S38" i="117"/>
  <c r="W37" i="117"/>
  <c r="S37" i="117"/>
  <c r="R36" i="117"/>
  <c r="H36" i="117"/>
  <c r="W34" i="117"/>
  <c r="X34" i="117" s="1"/>
  <c r="S34" i="117"/>
  <c r="W33" i="117"/>
  <c r="X33" i="117" s="1"/>
  <c r="S33" i="117"/>
  <c r="S32" i="117"/>
  <c r="R31" i="117"/>
  <c r="S31" i="117" s="1"/>
  <c r="H31" i="117"/>
  <c r="S30" i="117"/>
  <c r="S29" i="117"/>
  <c r="R28" i="117"/>
  <c r="S28" i="117" s="1"/>
  <c r="H28" i="117"/>
  <c r="S27" i="117"/>
  <c r="W26" i="117"/>
  <c r="Y26" i="117" s="1"/>
  <c r="S26" i="117"/>
  <c r="S25" i="117"/>
  <c r="W24" i="117"/>
  <c r="X24" i="117" s="1"/>
  <c r="S24" i="117"/>
  <c r="S23" i="117"/>
  <c r="W22" i="117"/>
  <c r="X22" i="117" s="1"/>
  <c r="S22" i="117"/>
  <c r="R21" i="117"/>
  <c r="S21" i="117" s="1"/>
  <c r="H21" i="117"/>
  <c r="W20" i="117"/>
  <c r="X20" i="117" s="1"/>
  <c r="S20" i="117"/>
  <c r="V19" i="117"/>
  <c r="W19" i="117" s="1"/>
  <c r="R19" i="117"/>
  <c r="S19" i="117" s="1"/>
  <c r="H19" i="117"/>
  <c r="Y19" i="117" s="1"/>
  <c r="W18" i="117"/>
  <c r="Y18" i="117" s="1"/>
  <c r="S18" i="117"/>
  <c r="W17" i="117"/>
  <c r="Y17" i="117" s="1"/>
  <c r="S17" i="117"/>
  <c r="V16" i="117"/>
  <c r="W16" i="117" s="1"/>
  <c r="R16" i="117"/>
  <c r="S16" i="117" s="1"/>
  <c r="H16" i="117"/>
  <c r="X18" i="117" l="1"/>
  <c r="V45" i="117"/>
  <c r="Y42" i="117"/>
  <c r="X42" i="117"/>
  <c r="V35" i="117"/>
  <c r="H15" i="117"/>
  <c r="X16" i="117"/>
  <c r="T14" i="118"/>
  <c r="T52" i="118" s="1"/>
  <c r="X15" i="118"/>
  <c r="Y15" i="118"/>
  <c r="Y14" i="118"/>
  <c r="R15" i="117"/>
  <c r="S15" i="117" s="1"/>
  <c r="W46" i="117"/>
  <c r="X46" i="117" s="1"/>
  <c r="V28" i="117"/>
  <c r="W28" i="117" s="1"/>
  <c r="X28" i="117" s="1"/>
  <c r="V21" i="117"/>
  <c r="W21" i="117" s="1"/>
  <c r="X21" i="117" s="1"/>
  <c r="Y22" i="117"/>
  <c r="X25" i="117"/>
  <c r="X30" i="117"/>
  <c r="Y33" i="117"/>
  <c r="X49" i="117"/>
  <c r="X17" i="117"/>
  <c r="Y20" i="117"/>
  <c r="X26" i="117"/>
  <c r="X38" i="117"/>
  <c r="X41" i="117"/>
  <c r="X44" i="117"/>
  <c r="Y50" i="117"/>
  <c r="Y16" i="117"/>
  <c r="X19" i="117"/>
  <c r="X23" i="117"/>
  <c r="Y24" i="117"/>
  <c r="Y27" i="117"/>
  <c r="Y29" i="117"/>
  <c r="W32" i="117"/>
  <c r="W31" i="117"/>
  <c r="X31" i="117" s="1"/>
  <c r="Y34" i="117"/>
  <c r="S36" i="117"/>
  <c r="R35" i="117"/>
  <c r="S35" i="117" s="1"/>
  <c r="Y40" i="117"/>
  <c r="Y43" i="117"/>
  <c r="H35" i="117"/>
  <c r="X37" i="117"/>
  <c r="Y37" i="117"/>
  <c r="X39" i="117"/>
  <c r="W45" i="117"/>
  <c r="X45" i="117" s="1"/>
  <c r="X47" i="117"/>
  <c r="X51" i="117"/>
  <c r="R52" i="116"/>
  <c r="Q52" i="116"/>
  <c r="F57" i="116"/>
  <c r="W51" i="116"/>
  <c r="Y51" i="116" s="1"/>
  <c r="S51" i="116"/>
  <c r="H50" i="116"/>
  <c r="W49" i="116"/>
  <c r="Y49" i="116" s="1"/>
  <c r="S49" i="116"/>
  <c r="W48" i="116"/>
  <c r="Y48" i="116" s="1"/>
  <c r="S48" i="116"/>
  <c r="V47" i="116"/>
  <c r="W47" i="116" s="1"/>
  <c r="Y47" i="116" s="1"/>
  <c r="S47" i="116"/>
  <c r="H46" i="116"/>
  <c r="H45" i="116"/>
  <c r="W44" i="116"/>
  <c r="Y44" i="116" s="1"/>
  <c r="S44" i="116"/>
  <c r="H43" i="116"/>
  <c r="V42" i="116"/>
  <c r="W42" i="116" s="1"/>
  <c r="Y42" i="116" s="1"/>
  <c r="S42" i="116"/>
  <c r="W41" i="116"/>
  <c r="Y41" i="116" s="1"/>
  <c r="S41" i="116"/>
  <c r="H40" i="116"/>
  <c r="V39" i="116"/>
  <c r="W39" i="116" s="1"/>
  <c r="Y39" i="116" s="1"/>
  <c r="S39" i="116"/>
  <c r="W38" i="116"/>
  <c r="Y38" i="116" s="1"/>
  <c r="S38" i="116"/>
  <c r="V37" i="116"/>
  <c r="W37" i="116" s="1"/>
  <c r="S37" i="116"/>
  <c r="H36" i="116"/>
  <c r="W34" i="116"/>
  <c r="Y34" i="116" s="1"/>
  <c r="S34" i="116"/>
  <c r="V33" i="116"/>
  <c r="W33" i="116" s="1"/>
  <c r="Y33" i="116" s="1"/>
  <c r="S33" i="116"/>
  <c r="V32" i="116"/>
  <c r="W32" i="116" s="1"/>
  <c r="S32" i="116"/>
  <c r="H31" i="116"/>
  <c r="V30" i="116"/>
  <c r="W30" i="116" s="1"/>
  <c r="S30" i="116"/>
  <c r="V29" i="116"/>
  <c r="S29" i="116"/>
  <c r="H28" i="116"/>
  <c r="V27" i="116"/>
  <c r="W27" i="116" s="1"/>
  <c r="Y27" i="116" s="1"/>
  <c r="S27" i="116"/>
  <c r="W26" i="116"/>
  <c r="X26" i="116" s="1"/>
  <c r="S26" i="116"/>
  <c r="V25" i="116"/>
  <c r="W25" i="116" s="1"/>
  <c r="S25" i="116"/>
  <c r="V24" i="116"/>
  <c r="W24" i="116" s="1"/>
  <c r="Y24" i="116" s="1"/>
  <c r="S24" i="116"/>
  <c r="V23" i="116"/>
  <c r="W23" i="116" s="1"/>
  <c r="X23" i="116" s="1"/>
  <c r="S23" i="116"/>
  <c r="V22" i="116"/>
  <c r="S22" i="116"/>
  <c r="H21" i="116"/>
  <c r="V20" i="116"/>
  <c r="W20" i="116" s="1"/>
  <c r="Y20" i="116" s="1"/>
  <c r="S20" i="116"/>
  <c r="H19" i="116"/>
  <c r="W18" i="116"/>
  <c r="Y18" i="116" s="1"/>
  <c r="S18" i="116"/>
  <c r="W17" i="116"/>
  <c r="Y17" i="116" s="1"/>
  <c r="S17" i="116"/>
  <c r="S52" i="116" s="1"/>
  <c r="H16" i="116"/>
  <c r="H15" i="116"/>
  <c r="H35" i="116" l="1"/>
  <c r="X17" i="116"/>
  <c r="X25" i="116"/>
  <c r="Y25" i="116"/>
  <c r="X30" i="116"/>
  <c r="Y30" i="116"/>
  <c r="X32" i="116"/>
  <c r="Y32" i="116"/>
  <c r="H52" i="116"/>
  <c r="P35" i="116" s="1"/>
  <c r="P15" i="116"/>
  <c r="X44" i="116"/>
  <c r="X38" i="116"/>
  <c r="Y28" i="117"/>
  <c r="X18" i="116"/>
  <c r="X27" i="116"/>
  <c r="X41" i="116"/>
  <c r="X24" i="116"/>
  <c r="X34" i="116"/>
  <c r="X49" i="116"/>
  <c r="V52" i="116"/>
  <c r="Y46" i="117"/>
  <c r="Y45" i="117"/>
  <c r="Y31" i="117"/>
  <c r="H14" i="117"/>
  <c r="H52" i="117"/>
  <c r="W35" i="117"/>
  <c r="X35" i="117" s="1"/>
  <c r="W36" i="117"/>
  <c r="Y32" i="117"/>
  <c r="X32" i="117"/>
  <c r="Y21" i="117"/>
  <c r="V15" i="117"/>
  <c r="V52" i="117" s="1"/>
  <c r="R14" i="117"/>
  <c r="X20" i="116"/>
  <c r="Y23" i="116"/>
  <c r="Y26" i="116"/>
  <c r="W29" i="116"/>
  <c r="X33" i="116"/>
  <c r="H14" i="116"/>
  <c r="W22" i="116"/>
  <c r="X37" i="116"/>
  <c r="Y37" i="116"/>
  <c r="X39" i="116"/>
  <c r="X42" i="116"/>
  <c r="X47" i="116"/>
  <c r="X51" i="116"/>
  <c r="P51" i="116" l="1"/>
  <c r="T51" i="116" s="1"/>
  <c r="P48" i="116"/>
  <c r="T48" i="116" s="1"/>
  <c r="P32" i="116"/>
  <c r="T32" i="116" s="1"/>
  <c r="W52" i="116"/>
  <c r="P27" i="116"/>
  <c r="T27" i="116" s="1"/>
  <c r="P22" i="116"/>
  <c r="T22" i="116" s="1"/>
  <c r="P20" i="116"/>
  <c r="T20" i="116" s="1"/>
  <c r="P25" i="116"/>
  <c r="T25" i="116" s="1"/>
  <c r="P45" i="116"/>
  <c r="P50" i="116"/>
  <c r="P30" i="116"/>
  <c r="T30" i="116" s="1"/>
  <c r="P52" i="116"/>
  <c r="T52" i="116" s="1"/>
  <c r="P16" i="116"/>
  <c r="P21" i="116"/>
  <c r="P28" i="116"/>
  <c r="P19" i="116"/>
  <c r="P26" i="116"/>
  <c r="T26" i="116" s="1"/>
  <c r="P44" i="116"/>
  <c r="T44" i="116" s="1"/>
  <c r="P40" i="116"/>
  <c r="P33" i="116"/>
  <c r="T33" i="116" s="1"/>
  <c r="P38" i="116"/>
  <c r="T38" i="116" s="1"/>
  <c r="P14" i="116"/>
  <c r="P18" i="116"/>
  <c r="T18" i="116" s="1"/>
  <c r="P47" i="116"/>
  <c r="T47" i="116" s="1"/>
  <c r="P36" i="116"/>
  <c r="P43" i="116"/>
  <c r="P24" i="116"/>
  <c r="T24" i="116" s="1"/>
  <c r="P31" i="116"/>
  <c r="P29" i="116"/>
  <c r="T29" i="116" s="1"/>
  <c r="P37" i="116"/>
  <c r="T37" i="116" s="1"/>
  <c r="P34" i="116"/>
  <c r="T34" i="116" s="1"/>
  <c r="P39" i="116"/>
  <c r="T39" i="116" s="1"/>
  <c r="P23" i="116"/>
  <c r="T23" i="116" s="1"/>
  <c r="P41" i="116"/>
  <c r="T41" i="116" s="1"/>
  <c r="P42" i="116"/>
  <c r="T42" i="116" s="1"/>
  <c r="P17" i="116"/>
  <c r="T17" i="116" s="1"/>
  <c r="P49" i="116"/>
  <c r="T49" i="116" s="1"/>
  <c r="P46" i="116"/>
  <c r="W52" i="117"/>
  <c r="X52" i="117" s="1"/>
  <c r="W15" i="117"/>
  <c r="V14" i="117"/>
  <c r="W14" i="117" s="1"/>
  <c r="X14" i="117" s="1"/>
  <c r="X36" i="117"/>
  <c r="Y36" i="117"/>
  <c r="P52" i="117"/>
  <c r="P49" i="117"/>
  <c r="T49" i="117" s="1"/>
  <c r="P47" i="117"/>
  <c r="T47" i="117" s="1"/>
  <c r="P46" i="117"/>
  <c r="T46" i="117" s="1"/>
  <c r="P44" i="117"/>
  <c r="T44" i="117" s="1"/>
  <c r="P43" i="117"/>
  <c r="T43" i="117" s="1"/>
  <c r="P42" i="117"/>
  <c r="T42" i="117" s="1"/>
  <c r="P41" i="117"/>
  <c r="T41" i="117" s="1"/>
  <c r="P40" i="117"/>
  <c r="T40" i="117" s="1"/>
  <c r="P39" i="117"/>
  <c r="T39" i="117" s="1"/>
  <c r="P38" i="117"/>
  <c r="T38" i="117" s="1"/>
  <c r="P51" i="117"/>
  <c r="T51" i="117" s="1"/>
  <c r="P48" i="117"/>
  <c r="T48" i="117" s="1"/>
  <c r="P37" i="117"/>
  <c r="T37" i="117" s="1"/>
  <c r="P34" i="117"/>
  <c r="T34" i="117" s="1"/>
  <c r="P32" i="117"/>
  <c r="T32" i="117" s="1"/>
  <c r="P30" i="117"/>
  <c r="T30" i="117" s="1"/>
  <c r="P25" i="117"/>
  <c r="T25" i="117" s="1"/>
  <c r="P23" i="117"/>
  <c r="T23" i="117" s="1"/>
  <c r="P29" i="117"/>
  <c r="T29" i="117" s="1"/>
  <c r="P33" i="117"/>
  <c r="T33" i="117" s="1"/>
  <c r="P28" i="117"/>
  <c r="T28" i="117" s="1"/>
  <c r="P26" i="117"/>
  <c r="T26" i="117" s="1"/>
  <c r="P22" i="117"/>
  <c r="T22" i="117" s="1"/>
  <c r="P20" i="117"/>
  <c r="T20" i="117" s="1"/>
  <c r="P27" i="117"/>
  <c r="T27" i="117" s="1"/>
  <c r="P24" i="117"/>
  <c r="T24" i="117" s="1"/>
  <c r="P21" i="117"/>
  <c r="T21" i="117" s="1"/>
  <c r="P18" i="117"/>
  <c r="T18" i="117" s="1"/>
  <c r="P17" i="117"/>
  <c r="T17" i="117" s="1"/>
  <c r="P16" i="117"/>
  <c r="T16" i="117" s="1"/>
  <c r="P31" i="117"/>
  <c r="T31" i="117" s="1"/>
  <c r="P36" i="117"/>
  <c r="T36" i="117" s="1"/>
  <c r="P50" i="117"/>
  <c r="T50" i="117" s="1"/>
  <c r="P15" i="117"/>
  <c r="T15" i="117" s="1"/>
  <c r="P19" i="117"/>
  <c r="T19" i="117" s="1"/>
  <c r="P45" i="117"/>
  <c r="T45" i="117" s="1"/>
  <c r="Y35" i="117"/>
  <c r="R52" i="117"/>
  <c r="S14" i="117"/>
  <c r="S52" i="117" s="1"/>
  <c r="H13" i="117"/>
  <c r="P13" i="117" s="1"/>
  <c r="P14" i="117"/>
  <c r="P35" i="117"/>
  <c r="T35" i="117" s="1"/>
  <c r="Y22" i="116"/>
  <c r="X22" i="116"/>
  <c r="H13" i="116"/>
  <c r="Y29" i="116"/>
  <c r="X29" i="116"/>
  <c r="Y52" i="117" l="1"/>
  <c r="Y14" i="117"/>
  <c r="T14" i="117"/>
  <c r="T52" i="117" s="1"/>
  <c r="X15" i="117"/>
  <c r="Y15" i="117"/>
  <c r="X52" i="116"/>
  <c r="Y52" i="116"/>
  <c r="H26" i="107" l="1"/>
  <c r="F57" i="115"/>
  <c r="V47" i="115"/>
  <c r="V42" i="115"/>
  <c r="V39" i="115"/>
  <c r="V37" i="115"/>
  <c r="V33" i="115"/>
  <c r="V32" i="115"/>
  <c r="V30" i="115"/>
  <c r="V29" i="115"/>
  <c r="V27" i="115"/>
  <c r="V25" i="115"/>
  <c r="V24" i="115"/>
  <c r="V23" i="115"/>
  <c r="V22" i="115"/>
  <c r="V20" i="115"/>
  <c r="W51" i="115" l="1"/>
  <c r="S51" i="115"/>
  <c r="V50" i="115"/>
  <c r="W50" i="115" s="1"/>
  <c r="R50" i="115"/>
  <c r="S50" i="115" s="1"/>
  <c r="H50" i="115"/>
  <c r="W49" i="115"/>
  <c r="S49" i="115"/>
  <c r="W48" i="115"/>
  <c r="Y48" i="115" s="1"/>
  <c r="S48" i="115"/>
  <c r="W47" i="115"/>
  <c r="X47" i="115" s="1"/>
  <c r="S47" i="115"/>
  <c r="R46" i="115"/>
  <c r="S46" i="115" s="1"/>
  <c r="H46" i="115"/>
  <c r="W44" i="115"/>
  <c r="S44" i="115"/>
  <c r="V43" i="115"/>
  <c r="W43" i="115" s="1"/>
  <c r="X43" i="115" s="1"/>
  <c r="R43" i="115"/>
  <c r="S43" i="115" s="1"/>
  <c r="H43" i="115"/>
  <c r="W42" i="115"/>
  <c r="X42" i="115" s="1"/>
  <c r="S42" i="115"/>
  <c r="W41" i="115"/>
  <c r="S41" i="115"/>
  <c r="R40" i="115"/>
  <c r="S40" i="115" s="1"/>
  <c r="H40" i="115"/>
  <c r="H35" i="115" s="1"/>
  <c r="W39" i="115"/>
  <c r="X39" i="115" s="1"/>
  <c r="S39" i="115"/>
  <c r="W38" i="115"/>
  <c r="S38" i="115"/>
  <c r="W37" i="115"/>
  <c r="S37" i="115"/>
  <c r="V36" i="115"/>
  <c r="W36" i="115" s="1"/>
  <c r="R36" i="115"/>
  <c r="S36" i="115" s="1"/>
  <c r="H36" i="115"/>
  <c r="W34" i="115"/>
  <c r="S34" i="115"/>
  <c r="W33" i="115"/>
  <c r="X33" i="115" s="1"/>
  <c r="S33" i="115"/>
  <c r="W32" i="115"/>
  <c r="S32" i="115"/>
  <c r="V31" i="115"/>
  <c r="W31" i="115" s="1"/>
  <c r="R31" i="115"/>
  <c r="S31" i="115" s="1"/>
  <c r="H31" i="115"/>
  <c r="W30" i="115"/>
  <c r="X30" i="115" s="1"/>
  <c r="S30" i="115"/>
  <c r="W29" i="115"/>
  <c r="S29" i="115"/>
  <c r="V28" i="115"/>
  <c r="W28" i="115" s="1"/>
  <c r="R28" i="115"/>
  <c r="S28" i="115" s="1"/>
  <c r="H28" i="115"/>
  <c r="W27" i="115"/>
  <c r="X27" i="115" s="1"/>
  <c r="S27" i="115"/>
  <c r="W26" i="115"/>
  <c r="S26" i="115"/>
  <c r="W25" i="115"/>
  <c r="S25" i="115"/>
  <c r="W24" i="115"/>
  <c r="S24" i="115"/>
  <c r="W23" i="115"/>
  <c r="S23" i="115"/>
  <c r="W22" i="115"/>
  <c r="S22" i="115"/>
  <c r="V21" i="115"/>
  <c r="W21" i="115" s="1"/>
  <c r="R21" i="115"/>
  <c r="S21" i="115" s="1"/>
  <c r="H21" i="115"/>
  <c r="W20" i="115"/>
  <c r="X20" i="115" s="1"/>
  <c r="S20" i="115"/>
  <c r="V19" i="115"/>
  <c r="W19" i="115" s="1"/>
  <c r="R19" i="115"/>
  <c r="S19" i="115" s="1"/>
  <c r="H19" i="115"/>
  <c r="Y19" i="115" s="1"/>
  <c r="W18" i="115"/>
  <c r="X18" i="115" s="1"/>
  <c r="S18" i="115"/>
  <c r="W17" i="115"/>
  <c r="X17" i="115" s="1"/>
  <c r="S17" i="115"/>
  <c r="V16" i="115"/>
  <c r="W16" i="115" s="1"/>
  <c r="X16" i="115" s="1"/>
  <c r="R16" i="115"/>
  <c r="S16" i="115" s="1"/>
  <c r="H16" i="115"/>
  <c r="Y30" i="115" l="1"/>
  <c r="Y23" i="115"/>
  <c r="X23" i="115"/>
  <c r="Y24" i="115"/>
  <c r="X24" i="115"/>
  <c r="Y38" i="115"/>
  <c r="X38" i="115"/>
  <c r="Y49" i="115"/>
  <c r="X49" i="115"/>
  <c r="Y37" i="115"/>
  <c r="X37" i="115"/>
  <c r="X31" i="115"/>
  <c r="Y34" i="115"/>
  <c r="X34" i="115"/>
  <c r="R35" i="115"/>
  <c r="S35" i="115" s="1"/>
  <c r="Y44" i="115"/>
  <c r="X44" i="115"/>
  <c r="Y26" i="115"/>
  <c r="X26" i="115"/>
  <c r="X21" i="115"/>
  <c r="Y29" i="115"/>
  <c r="X29" i="115"/>
  <c r="X50" i="115"/>
  <c r="Y32" i="115"/>
  <c r="X32" i="115"/>
  <c r="X19" i="115"/>
  <c r="Y22" i="115"/>
  <c r="X22" i="115"/>
  <c r="Y25" i="115"/>
  <c r="X25" i="115"/>
  <c r="Y41" i="115"/>
  <c r="X41" i="115"/>
  <c r="X28" i="115"/>
  <c r="X36" i="115"/>
  <c r="Y51" i="115"/>
  <c r="X51" i="115"/>
  <c r="Y28" i="115"/>
  <c r="V15" i="115"/>
  <c r="W15" i="115" s="1"/>
  <c r="Y20" i="115"/>
  <c r="Y18" i="115"/>
  <c r="Y21" i="115"/>
  <c r="Y31" i="115"/>
  <c r="Y43" i="115"/>
  <c r="Y16" i="115"/>
  <c r="Y17" i="115"/>
  <c r="H15" i="115"/>
  <c r="R15" i="115"/>
  <c r="Y27" i="115"/>
  <c r="Y33" i="115"/>
  <c r="Y36" i="115"/>
  <c r="Y39" i="115"/>
  <c r="Y42" i="115"/>
  <c r="Y47" i="115"/>
  <c r="Y50" i="115"/>
  <c r="V40" i="115"/>
  <c r="W40" i="115" s="1"/>
  <c r="X40" i="115" s="1"/>
  <c r="H45" i="115"/>
  <c r="R45" i="115"/>
  <c r="S45" i="115" s="1"/>
  <c r="V46" i="115"/>
  <c r="V47" i="114"/>
  <c r="V42" i="114"/>
  <c r="V39" i="114"/>
  <c r="V37" i="114"/>
  <c r="V27" i="114"/>
  <c r="V20" i="114"/>
  <c r="X15" i="115" l="1"/>
  <c r="V35" i="115"/>
  <c r="W46" i="115"/>
  <c r="X46" i="115" s="1"/>
  <c r="V45" i="115"/>
  <c r="W45" i="115" s="1"/>
  <c r="X45" i="115" s="1"/>
  <c r="H52" i="115"/>
  <c r="Y15" i="115"/>
  <c r="H14" i="115"/>
  <c r="Y40" i="115"/>
  <c r="Y45" i="115"/>
  <c r="S15" i="115"/>
  <c r="R14" i="115"/>
  <c r="G8" i="107"/>
  <c r="G7" i="107"/>
  <c r="G6" i="107"/>
  <c r="V33" i="114"/>
  <c r="W33" i="114" s="1"/>
  <c r="X33" i="114" s="1"/>
  <c r="V32" i="114"/>
  <c r="W32" i="114" s="1"/>
  <c r="V30" i="114"/>
  <c r="W51" i="114"/>
  <c r="X51" i="114" s="1"/>
  <c r="S51" i="114"/>
  <c r="V50" i="114"/>
  <c r="W50" i="114" s="1"/>
  <c r="R50" i="114"/>
  <c r="S50" i="114" s="1"/>
  <c r="H50" i="114"/>
  <c r="Y50" i="114" s="1"/>
  <c r="W49" i="114"/>
  <c r="Y49" i="114" s="1"/>
  <c r="S49" i="114"/>
  <c r="W48" i="114"/>
  <c r="Y48" i="114" s="1"/>
  <c r="S48" i="114"/>
  <c r="W47" i="114"/>
  <c r="X47" i="114" s="1"/>
  <c r="S47" i="114"/>
  <c r="V46" i="114"/>
  <c r="W46" i="114" s="1"/>
  <c r="R46" i="114"/>
  <c r="H46" i="114"/>
  <c r="W44" i="114"/>
  <c r="X44" i="114" s="1"/>
  <c r="S44" i="114"/>
  <c r="V43" i="114"/>
  <c r="W43" i="114" s="1"/>
  <c r="R43" i="114"/>
  <c r="S43" i="114" s="1"/>
  <c r="H43" i="114"/>
  <c r="W42" i="114"/>
  <c r="Y42" i="114" s="1"/>
  <c r="S42" i="114"/>
  <c r="W41" i="114"/>
  <c r="Y41" i="114" s="1"/>
  <c r="S41" i="114"/>
  <c r="V40" i="114"/>
  <c r="W40" i="114" s="1"/>
  <c r="R40" i="114"/>
  <c r="S40" i="114" s="1"/>
  <c r="H40" i="114"/>
  <c r="W39" i="114"/>
  <c r="X39" i="114" s="1"/>
  <c r="S39" i="114"/>
  <c r="W38" i="114"/>
  <c r="X38" i="114" s="1"/>
  <c r="S38" i="114"/>
  <c r="W37" i="114"/>
  <c r="X37" i="114" s="1"/>
  <c r="S37" i="114"/>
  <c r="V36" i="114"/>
  <c r="W36" i="114" s="1"/>
  <c r="R36" i="114"/>
  <c r="H36" i="114"/>
  <c r="W34" i="114"/>
  <c r="X34" i="114" s="1"/>
  <c r="S34" i="114"/>
  <c r="S33" i="114"/>
  <c r="S32" i="114"/>
  <c r="R31" i="114"/>
  <c r="S31" i="114" s="1"/>
  <c r="H31" i="114"/>
  <c r="S30" i="114"/>
  <c r="W29" i="114"/>
  <c r="X29" i="114" s="1"/>
  <c r="S29" i="114"/>
  <c r="R28" i="114"/>
  <c r="S28" i="114" s="1"/>
  <c r="H28" i="114"/>
  <c r="W27" i="114"/>
  <c r="Y27" i="114" s="1"/>
  <c r="S27" i="114"/>
  <c r="W26" i="114"/>
  <c r="Y26" i="114" s="1"/>
  <c r="S26" i="114"/>
  <c r="W25" i="114"/>
  <c r="Y25" i="114" s="1"/>
  <c r="S25" i="114"/>
  <c r="W24" i="114"/>
  <c r="Y24" i="114" s="1"/>
  <c r="S24" i="114"/>
  <c r="W23" i="114"/>
  <c r="Y23" i="114" s="1"/>
  <c r="S23" i="114"/>
  <c r="W22" i="114"/>
  <c r="Y22" i="114" s="1"/>
  <c r="S22" i="114"/>
  <c r="V21" i="114"/>
  <c r="W21" i="114" s="1"/>
  <c r="R21" i="114"/>
  <c r="S21" i="114" s="1"/>
  <c r="H21" i="114"/>
  <c r="W20" i="114"/>
  <c r="S20" i="114"/>
  <c r="R19" i="114"/>
  <c r="S19" i="114" s="1"/>
  <c r="H19" i="114"/>
  <c r="W18" i="114"/>
  <c r="Y18" i="114" s="1"/>
  <c r="S18" i="114"/>
  <c r="W17" i="114"/>
  <c r="Y17" i="114" s="1"/>
  <c r="S17" i="114"/>
  <c r="V16" i="114"/>
  <c r="W16" i="114" s="1"/>
  <c r="R16" i="114"/>
  <c r="S16" i="114" s="1"/>
  <c r="H16" i="114"/>
  <c r="Y46" i="114" l="1"/>
  <c r="V31" i="114"/>
  <c r="W31" i="114" s="1"/>
  <c r="H15" i="114"/>
  <c r="X25" i="114"/>
  <c r="X32" i="114"/>
  <c r="Y32" i="114"/>
  <c r="X17" i="114"/>
  <c r="Y36" i="114"/>
  <c r="P15" i="115"/>
  <c r="T15" i="115" s="1"/>
  <c r="P52" i="115"/>
  <c r="X40" i="114"/>
  <c r="X16" i="114"/>
  <c r="Y44" i="114"/>
  <c r="X23" i="114"/>
  <c r="P45" i="115"/>
  <c r="T45" i="115" s="1"/>
  <c r="G26" i="107"/>
  <c r="R52" i="115"/>
  <c r="S14" i="115"/>
  <c r="S52" i="115" s="1"/>
  <c r="P14" i="115"/>
  <c r="H13" i="115"/>
  <c r="P13" i="115" s="1"/>
  <c r="P51" i="115"/>
  <c r="T51" i="115" s="1"/>
  <c r="P50" i="115"/>
  <c r="T50" i="115" s="1"/>
  <c r="P48" i="115"/>
  <c r="T48" i="115" s="1"/>
  <c r="P37" i="115"/>
  <c r="T37" i="115" s="1"/>
  <c r="P36" i="115"/>
  <c r="T36" i="115" s="1"/>
  <c r="P34" i="115"/>
  <c r="T34" i="115" s="1"/>
  <c r="P32" i="115"/>
  <c r="T32" i="115" s="1"/>
  <c r="P49" i="115"/>
  <c r="T49" i="115" s="1"/>
  <c r="P47" i="115"/>
  <c r="T47" i="115" s="1"/>
  <c r="P44" i="115"/>
  <c r="T44" i="115" s="1"/>
  <c r="P42" i="115"/>
  <c r="T42" i="115" s="1"/>
  <c r="P41" i="115"/>
  <c r="T41" i="115" s="1"/>
  <c r="P39" i="115"/>
  <c r="T39" i="115" s="1"/>
  <c r="P38" i="115"/>
  <c r="T38" i="115" s="1"/>
  <c r="P33" i="115"/>
  <c r="T33" i="115" s="1"/>
  <c r="P30" i="115"/>
  <c r="T30" i="115" s="1"/>
  <c r="P28" i="115"/>
  <c r="T28" i="115" s="1"/>
  <c r="P26" i="115"/>
  <c r="T26" i="115" s="1"/>
  <c r="P24" i="115"/>
  <c r="T24" i="115" s="1"/>
  <c r="P22" i="115"/>
  <c r="T22" i="115" s="1"/>
  <c r="P20" i="115"/>
  <c r="T20" i="115" s="1"/>
  <c r="P18" i="115"/>
  <c r="T18" i="115" s="1"/>
  <c r="P17" i="115"/>
  <c r="T17" i="115" s="1"/>
  <c r="P31" i="115"/>
  <c r="T31" i="115" s="1"/>
  <c r="P29" i="115"/>
  <c r="T29" i="115" s="1"/>
  <c r="P27" i="115"/>
  <c r="T27" i="115" s="1"/>
  <c r="P25" i="115"/>
  <c r="T25" i="115" s="1"/>
  <c r="P23" i="115"/>
  <c r="T23" i="115" s="1"/>
  <c r="P21" i="115"/>
  <c r="T21" i="115" s="1"/>
  <c r="P19" i="115"/>
  <c r="T19" i="115" s="1"/>
  <c r="P16" i="115"/>
  <c r="T16" i="115" s="1"/>
  <c r="P43" i="115"/>
  <c r="T43" i="115" s="1"/>
  <c r="P35" i="115"/>
  <c r="T35" i="115" s="1"/>
  <c r="P40" i="115"/>
  <c r="T40" i="115" s="1"/>
  <c r="P46" i="115"/>
  <c r="T46" i="115" s="1"/>
  <c r="Y46" i="115"/>
  <c r="W35" i="115"/>
  <c r="X35" i="115" s="1"/>
  <c r="V52" i="115"/>
  <c r="W52" i="115" s="1"/>
  <c r="X52" i="115" s="1"/>
  <c r="V14" i="115"/>
  <c r="W14" i="115" s="1"/>
  <c r="X14" i="115" s="1"/>
  <c r="R15" i="114"/>
  <c r="S15" i="114" s="1"/>
  <c r="V45" i="114"/>
  <c r="W45" i="114" s="1"/>
  <c r="Y40" i="114"/>
  <c r="X41" i="114"/>
  <c r="Y21" i="114"/>
  <c r="X27" i="114"/>
  <c r="X18" i="114"/>
  <c r="X22" i="114"/>
  <c r="X24" i="114"/>
  <c r="X26" i="114"/>
  <c r="Y29" i="114"/>
  <c r="Y34" i="114"/>
  <c r="Y38" i="114"/>
  <c r="X42" i="114"/>
  <c r="X49" i="114"/>
  <c r="Y20" i="114"/>
  <c r="X20" i="114"/>
  <c r="Y16" i="114"/>
  <c r="X21" i="114"/>
  <c r="W30" i="114"/>
  <c r="V28" i="114"/>
  <c r="W28" i="114" s="1"/>
  <c r="X28" i="114" s="1"/>
  <c r="X31" i="114"/>
  <c r="S36" i="114"/>
  <c r="R35" i="114"/>
  <c r="S35" i="114" s="1"/>
  <c r="X43" i="114"/>
  <c r="S46" i="114"/>
  <c r="R45" i="114"/>
  <c r="S45" i="114" s="1"/>
  <c r="V19" i="114"/>
  <c r="W19" i="114" s="1"/>
  <c r="X19" i="114" s="1"/>
  <c r="Y31" i="114"/>
  <c r="Y33" i="114"/>
  <c r="V35" i="114"/>
  <c r="W35" i="114" s="1"/>
  <c r="H35" i="114"/>
  <c r="X36" i="114"/>
  <c r="Y37" i="114"/>
  <c r="Y39" i="114"/>
  <c r="Y43" i="114"/>
  <c r="H45" i="114"/>
  <c r="X46" i="114"/>
  <c r="Y47" i="114"/>
  <c r="X50" i="114"/>
  <c r="Y51" i="114"/>
  <c r="V40" i="113"/>
  <c r="V20" i="113"/>
  <c r="W20" i="113" s="1"/>
  <c r="X20" i="113" s="1"/>
  <c r="W51" i="113"/>
  <c r="Y51" i="113" s="1"/>
  <c r="S51" i="113"/>
  <c r="V50" i="113"/>
  <c r="W50" i="113" s="1"/>
  <c r="R50" i="113"/>
  <c r="S50" i="113" s="1"/>
  <c r="H50" i="113"/>
  <c r="Y50" i="113" s="1"/>
  <c r="W49" i="113"/>
  <c r="X49" i="113" s="1"/>
  <c r="S49" i="113"/>
  <c r="W48" i="113"/>
  <c r="Y48" i="113" s="1"/>
  <c r="S48" i="113"/>
  <c r="S47" i="113"/>
  <c r="R46" i="113"/>
  <c r="H46" i="113"/>
  <c r="W44" i="113"/>
  <c r="X44" i="113" s="1"/>
  <c r="S44" i="113"/>
  <c r="V43" i="113"/>
  <c r="W43" i="113" s="1"/>
  <c r="R43" i="113"/>
  <c r="S43" i="113" s="1"/>
  <c r="H43" i="113"/>
  <c r="S42" i="113"/>
  <c r="W41" i="113"/>
  <c r="X41" i="113" s="1"/>
  <c r="S41" i="113"/>
  <c r="R40" i="113"/>
  <c r="S40" i="113" s="1"/>
  <c r="H40" i="113"/>
  <c r="S39" i="113"/>
  <c r="W38" i="113"/>
  <c r="X38" i="113" s="1"/>
  <c r="S38" i="113"/>
  <c r="W37" i="113"/>
  <c r="X37" i="113" s="1"/>
  <c r="S37" i="113"/>
  <c r="R36" i="113"/>
  <c r="H36" i="113"/>
  <c r="W34" i="113"/>
  <c r="X34" i="113" s="1"/>
  <c r="S34" i="113"/>
  <c r="W33" i="113"/>
  <c r="X33" i="113" s="1"/>
  <c r="S33" i="113"/>
  <c r="S32" i="113"/>
  <c r="R31" i="113"/>
  <c r="S31" i="113" s="1"/>
  <c r="H31" i="113"/>
  <c r="V30" i="113"/>
  <c r="S30" i="113"/>
  <c r="W29" i="113"/>
  <c r="X29" i="113" s="1"/>
  <c r="S29" i="113"/>
  <c r="R28" i="113"/>
  <c r="S28" i="113" s="1"/>
  <c r="H28" i="113"/>
  <c r="W27" i="113"/>
  <c r="Y27" i="113" s="1"/>
  <c r="S27" i="113"/>
  <c r="W26" i="113"/>
  <c r="Y26" i="113" s="1"/>
  <c r="S26" i="113"/>
  <c r="W25" i="113"/>
  <c r="S25" i="113"/>
  <c r="W24" i="113"/>
  <c r="X24" i="113" s="1"/>
  <c r="S24" i="113"/>
  <c r="W23" i="113"/>
  <c r="S23" i="113"/>
  <c r="W22" i="113"/>
  <c r="X22" i="113" s="1"/>
  <c r="S22" i="113"/>
  <c r="V21" i="113"/>
  <c r="W21" i="113" s="1"/>
  <c r="R21" i="113"/>
  <c r="S21" i="113" s="1"/>
  <c r="H21" i="113"/>
  <c r="H15" i="113" s="1"/>
  <c r="S20" i="113"/>
  <c r="R19" i="113"/>
  <c r="S19" i="113" s="1"/>
  <c r="H19" i="113"/>
  <c r="W18" i="113"/>
  <c r="X18" i="113" s="1"/>
  <c r="S18" i="113"/>
  <c r="W17" i="113"/>
  <c r="X17" i="113" s="1"/>
  <c r="S17" i="113"/>
  <c r="V16" i="113"/>
  <c r="W16" i="113" s="1"/>
  <c r="R16" i="113"/>
  <c r="S16" i="113" s="1"/>
  <c r="H16" i="113"/>
  <c r="V19" i="113" l="1"/>
  <c r="W19" i="113" s="1"/>
  <c r="X19" i="113" s="1"/>
  <c r="X21" i="113"/>
  <c r="X50" i="113"/>
  <c r="X16" i="113"/>
  <c r="Y34" i="113"/>
  <c r="Y28" i="114"/>
  <c r="X26" i="113"/>
  <c r="T14" i="115"/>
  <c r="T52" i="115" s="1"/>
  <c r="Y35" i="115"/>
  <c r="Y52" i="115"/>
  <c r="Y14" i="115"/>
  <c r="R14" i="114"/>
  <c r="S14" i="114" s="1"/>
  <c r="S52" i="114" s="1"/>
  <c r="V15" i="114"/>
  <c r="V52" i="114" s="1"/>
  <c r="W52" i="114" s="1"/>
  <c r="R52" i="114"/>
  <c r="Y45" i="114"/>
  <c r="X45" i="114"/>
  <c r="Y35" i="114"/>
  <c r="X35" i="114"/>
  <c r="H14" i="114"/>
  <c r="Y30" i="114"/>
  <c r="X30" i="114"/>
  <c r="Y19" i="114"/>
  <c r="H52" i="114"/>
  <c r="R15" i="113"/>
  <c r="S15" i="113" s="1"/>
  <c r="Y41" i="113"/>
  <c r="Y29" i="113"/>
  <c r="Y19" i="113"/>
  <c r="X27" i="113"/>
  <c r="Y37" i="113"/>
  <c r="Y44" i="113"/>
  <c r="Y49" i="113"/>
  <c r="X51" i="113"/>
  <c r="Y25" i="113"/>
  <c r="X25" i="113"/>
  <c r="Y16" i="113"/>
  <c r="Y21" i="113"/>
  <c r="Y23" i="113"/>
  <c r="X23" i="113"/>
  <c r="Y17" i="113"/>
  <c r="Y18" i="113"/>
  <c r="Y20" i="113"/>
  <c r="Y22" i="113"/>
  <c r="Y24" i="113"/>
  <c r="W30" i="113"/>
  <c r="V28" i="113"/>
  <c r="W28" i="113" s="1"/>
  <c r="X28" i="113" s="1"/>
  <c r="W32" i="113"/>
  <c r="V31" i="113"/>
  <c r="W31" i="113" s="1"/>
  <c r="X31" i="113" s="1"/>
  <c r="S36" i="113"/>
  <c r="R35" i="113"/>
  <c r="S35" i="113" s="1"/>
  <c r="W42" i="113"/>
  <c r="W40" i="113"/>
  <c r="X40" i="113" s="1"/>
  <c r="X43" i="113"/>
  <c r="S46" i="113"/>
  <c r="R45" i="113"/>
  <c r="S45" i="113" s="1"/>
  <c r="Y33" i="113"/>
  <c r="H35" i="113"/>
  <c r="Y38" i="113"/>
  <c r="W39" i="113"/>
  <c r="V36" i="113"/>
  <c r="Y43" i="113"/>
  <c r="H45" i="113"/>
  <c r="W47" i="113"/>
  <c r="V46" i="113"/>
  <c r="V39" i="111"/>
  <c r="V20" i="111"/>
  <c r="V30" i="111"/>
  <c r="V15" i="113" l="1"/>
  <c r="V14" i="114"/>
  <c r="W14" i="114" s="1"/>
  <c r="Y14" i="114" s="1"/>
  <c r="W15" i="114"/>
  <c r="Y15" i="114" s="1"/>
  <c r="Y52" i="114"/>
  <c r="P51" i="114"/>
  <c r="T51" i="114" s="1"/>
  <c r="P48" i="114"/>
  <c r="T48" i="114" s="1"/>
  <c r="P47" i="114"/>
  <c r="T47" i="114" s="1"/>
  <c r="P44" i="114"/>
  <c r="T44" i="114" s="1"/>
  <c r="P39" i="114"/>
  <c r="T39" i="114" s="1"/>
  <c r="P38" i="114"/>
  <c r="T38" i="114" s="1"/>
  <c r="P37" i="114"/>
  <c r="T37" i="114" s="1"/>
  <c r="P34" i="114"/>
  <c r="T34" i="114" s="1"/>
  <c r="P33" i="114"/>
  <c r="T33" i="114" s="1"/>
  <c r="P32" i="114"/>
  <c r="T32" i="114" s="1"/>
  <c r="P30" i="114"/>
  <c r="T30" i="114" s="1"/>
  <c r="P29" i="114"/>
  <c r="T29" i="114" s="1"/>
  <c r="P42" i="114"/>
  <c r="T42" i="114" s="1"/>
  <c r="P40" i="114"/>
  <c r="T40" i="114" s="1"/>
  <c r="P26" i="114"/>
  <c r="T26" i="114" s="1"/>
  <c r="P24" i="114"/>
  <c r="T24" i="114" s="1"/>
  <c r="P22" i="114"/>
  <c r="T22" i="114" s="1"/>
  <c r="P20" i="114"/>
  <c r="T20" i="114" s="1"/>
  <c r="P52" i="114"/>
  <c r="P49" i="114"/>
  <c r="T49" i="114" s="1"/>
  <c r="P41" i="114"/>
  <c r="T41" i="114" s="1"/>
  <c r="P27" i="114"/>
  <c r="T27" i="114" s="1"/>
  <c r="P25" i="114"/>
  <c r="T25" i="114" s="1"/>
  <c r="P23" i="114"/>
  <c r="T23" i="114" s="1"/>
  <c r="P18" i="114"/>
  <c r="T18" i="114" s="1"/>
  <c r="P17" i="114"/>
  <c r="T17" i="114" s="1"/>
  <c r="P16" i="114"/>
  <c r="T16" i="114" s="1"/>
  <c r="P31" i="114"/>
  <c r="T31" i="114" s="1"/>
  <c r="P43" i="114"/>
  <c r="T43" i="114" s="1"/>
  <c r="P15" i="114"/>
  <c r="T15" i="114" s="1"/>
  <c r="P28" i="114"/>
  <c r="T28" i="114" s="1"/>
  <c r="P19" i="114"/>
  <c r="T19" i="114" s="1"/>
  <c r="P21" i="114"/>
  <c r="T21" i="114" s="1"/>
  <c r="P36" i="114"/>
  <c r="T36" i="114" s="1"/>
  <c r="P46" i="114"/>
  <c r="T46" i="114" s="1"/>
  <c r="P50" i="114"/>
  <c r="T50" i="114" s="1"/>
  <c r="H13" i="114"/>
  <c r="P13" i="114" s="1"/>
  <c r="P14" i="114"/>
  <c r="T14" i="114" s="1"/>
  <c r="T52" i="114" s="1"/>
  <c r="P35" i="114"/>
  <c r="T35" i="114" s="1"/>
  <c r="P45" i="114"/>
  <c r="T45" i="114" s="1"/>
  <c r="X52" i="114"/>
  <c r="Y28" i="113"/>
  <c r="Y47" i="113"/>
  <c r="X47" i="113"/>
  <c r="Y39" i="113"/>
  <c r="X39" i="113"/>
  <c r="W15" i="113"/>
  <c r="H14" i="113"/>
  <c r="Y31" i="113"/>
  <c r="V45" i="113"/>
  <c r="W45" i="113" s="1"/>
  <c r="X45" i="113" s="1"/>
  <c r="W46" i="113"/>
  <c r="Y40" i="113"/>
  <c r="V35" i="113"/>
  <c r="W35" i="113" s="1"/>
  <c r="X35" i="113" s="1"/>
  <c r="W36" i="113"/>
  <c r="Y35" i="113"/>
  <c r="R14" i="113"/>
  <c r="H52" i="113"/>
  <c r="Y42" i="113"/>
  <c r="X42" i="113"/>
  <c r="Y32" i="113"/>
  <c r="X32" i="113"/>
  <c r="Y30" i="113"/>
  <c r="X30" i="113"/>
  <c r="V20" i="112"/>
  <c r="X15" i="114" l="1"/>
  <c r="X14" i="114"/>
  <c r="Y45" i="113"/>
  <c r="R52" i="113"/>
  <c r="S14" i="113"/>
  <c r="S52" i="113" s="1"/>
  <c r="X46" i="113"/>
  <c r="Y46" i="113"/>
  <c r="V14" i="113"/>
  <c r="W14" i="113" s="1"/>
  <c r="X14" i="113" s="1"/>
  <c r="V52" i="113"/>
  <c r="W52" i="113" s="1"/>
  <c r="X52" i="113" s="1"/>
  <c r="P52" i="113"/>
  <c r="P49" i="113"/>
  <c r="T49" i="113" s="1"/>
  <c r="P47" i="113"/>
  <c r="T47" i="113" s="1"/>
  <c r="P44" i="113"/>
  <c r="T44" i="113" s="1"/>
  <c r="P42" i="113"/>
  <c r="T42" i="113" s="1"/>
  <c r="P41" i="113"/>
  <c r="T41" i="113" s="1"/>
  <c r="P39" i="113"/>
  <c r="T39" i="113" s="1"/>
  <c r="P38" i="113"/>
  <c r="T38" i="113" s="1"/>
  <c r="P37" i="113"/>
  <c r="T37" i="113" s="1"/>
  <c r="P34" i="113"/>
  <c r="T34" i="113" s="1"/>
  <c r="P32" i="113"/>
  <c r="T32" i="113" s="1"/>
  <c r="P30" i="113"/>
  <c r="T30" i="113" s="1"/>
  <c r="P29" i="113"/>
  <c r="T29" i="113" s="1"/>
  <c r="P51" i="113"/>
  <c r="T51" i="113" s="1"/>
  <c r="P48" i="113"/>
  <c r="T48" i="113" s="1"/>
  <c r="P25" i="113"/>
  <c r="T25" i="113" s="1"/>
  <c r="P23" i="113"/>
  <c r="T23" i="113" s="1"/>
  <c r="P18" i="113"/>
  <c r="T18" i="113" s="1"/>
  <c r="P50" i="113"/>
  <c r="T50" i="113" s="1"/>
  <c r="P33" i="113"/>
  <c r="T33" i="113" s="1"/>
  <c r="P27" i="113"/>
  <c r="T27" i="113" s="1"/>
  <c r="P26" i="113"/>
  <c r="T26" i="113" s="1"/>
  <c r="P24" i="113"/>
  <c r="T24" i="113" s="1"/>
  <c r="P22" i="113"/>
  <c r="T22" i="113" s="1"/>
  <c r="P21" i="113"/>
  <c r="T21" i="113" s="1"/>
  <c r="P20" i="113"/>
  <c r="T20" i="113" s="1"/>
  <c r="P19" i="113"/>
  <c r="T19" i="113" s="1"/>
  <c r="P17" i="113"/>
  <c r="T17" i="113" s="1"/>
  <c r="P16" i="113"/>
  <c r="T16" i="113" s="1"/>
  <c r="P31" i="113"/>
  <c r="T31" i="113" s="1"/>
  <c r="P43" i="113"/>
  <c r="T43" i="113" s="1"/>
  <c r="P28" i="113"/>
  <c r="T28" i="113" s="1"/>
  <c r="P46" i="113"/>
  <c r="T46" i="113" s="1"/>
  <c r="P15" i="113"/>
  <c r="T15" i="113" s="1"/>
  <c r="P36" i="113"/>
  <c r="T36" i="113" s="1"/>
  <c r="P40" i="113"/>
  <c r="T40" i="113" s="1"/>
  <c r="P35" i="113"/>
  <c r="T35" i="113" s="1"/>
  <c r="X36" i="113"/>
  <c r="Y36" i="113"/>
  <c r="H13" i="113"/>
  <c r="P13" i="113" s="1"/>
  <c r="P14" i="113"/>
  <c r="X15" i="113"/>
  <c r="Y15" i="113"/>
  <c r="P45" i="113"/>
  <c r="T45" i="113" s="1"/>
  <c r="V47" i="112"/>
  <c r="V32" i="112"/>
  <c r="W32" i="112" s="1"/>
  <c r="X32" i="112" s="1"/>
  <c r="V22" i="112"/>
  <c r="W22" i="112" s="1"/>
  <c r="Y22" i="112" s="1"/>
  <c r="V17" i="112"/>
  <c r="W17" i="112" s="1"/>
  <c r="X17" i="112" s="1"/>
  <c r="V42" i="112"/>
  <c r="W42" i="112" s="1"/>
  <c r="V39" i="112"/>
  <c r="W39" i="112" s="1"/>
  <c r="X39" i="112" s="1"/>
  <c r="V33" i="112"/>
  <c r="W33" i="112" s="1"/>
  <c r="Y33" i="112" s="1"/>
  <c r="V30" i="112"/>
  <c r="W30" i="112" s="1"/>
  <c r="V27" i="112"/>
  <c r="W27" i="112" s="1"/>
  <c r="V25" i="112"/>
  <c r="W25" i="112" s="1"/>
  <c r="Y25" i="112" s="1"/>
  <c r="V24" i="112"/>
  <c r="W24" i="112" s="1"/>
  <c r="Y24" i="112" s="1"/>
  <c r="V23" i="112"/>
  <c r="W51" i="112"/>
  <c r="Y51" i="112" s="1"/>
  <c r="S51" i="112"/>
  <c r="V50" i="112"/>
  <c r="W50" i="112" s="1"/>
  <c r="R50" i="112"/>
  <c r="S50" i="112" s="1"/>
  <c r="H50" i="112"/>
  <c r="W49" i="112"/>
  <c r="X49" i="112" s="1"/>
  <c r="S49" i="112"/>
  <c r="W48" i="112"/>
  <c r="S48" i="112"/>
  <c r="W47" i="112"/>
  <c r="X47" i="112" s="1"/>
  <c r="S47" i="112"/>
  <c r="V46" i="112"/>
  <c r="R46" i="112"/>
  <c r="S46" i="112" s="1"/>
  <c r="H46" i="112"/>
  <c r="W44" i="112"/>
  <c r="Y44" i="112" s="1"/>
  <c r="S44" i="112"/>
  <c r="V43" i="112"/>
  <c r="W43" i="112" s="1"/>
  <c r="R43" i="112"/>
  <c r="S43" i="112" s="1"/>
  <c r="H43" i="112"/>
  <c r="S42" i="112"/>
  <c r="W41" i="112"/>
  <c r="Y41" i="112" s="1"/>
  <c r="S41" i="112"/>
  <c r="V40" i="112"/>
  <c r="W40" i="112" s="1"/>
  <c r="R40" i="112"/>
  <c r="S40" i="112" s="1"/>
  <c r="H40" i="112"/>
  <c r="S39" i="112"/>
  <c r="W38" i="112"/>
  <c r="Y38" i="112" s="1"/>
  <c r="S38" i="112"/>
  <c r="W37" i="112"/>
  <c r="Y37" i="112" s="1"/>
  <c r="S37" i="112"/>
  <c r="R36" i="112"/>
  <c r="S36" i="112" s="1"/>
  <c r="H36" i="112"/>
  <c r="W34" i="112"/>
  <c r="Y34" i="112" s="1"/>
  <c r="S34" i="112"/>
  <c r="S33" i="112"/>
  <c r="S32" i="112"/>
  <c r="R31" i="112"/>
  <c r="S31" i="112" s="1"/>
  <c r="H31" i="112"/>
  <c r="S30" i="112"/>
  <c r="W29" i="112"/>
  <c r="X29" i="112" s="1"/>
  <c r="S29" i="112"/>
  <c r="R28" i="112"/>
  <c r="S28" i="112" s="1"/>
  <c r="H28" i="112"/>
  <c r="S27" i="112"/>
  <c r="W26" i="112"/>
  <c r="Y26" i="112" s="1"/>
  <c r="S26" i="112"/>
  <c r="S25" i="112"/>
  <c r="S24" i="112"/>
  <c r="W23" i="112"/>
  <c r="Y23" i="112" s="1"/>
  <c r="S23" i="112"/>
  <c r="S22" i="112"/>
  <c r="R21" i="112"/>
  <c r="S21" i="112" s="1"/>
  <c r="H21" i="112"/>
  <c r="W20" i="112"/>
  <c r="X20" i="112" s="1"/>
  <c r="S20" i="112"/>
  <c r="V19" i="112"/>
  <c r="W19" i="112" s="1"/>
  <c r="R19" i="112"/>
  <c r="S19" i="112" s="1"/>
  <c r="H19" i="112"/>
  <c r="H15" i="112" s="1"/>
  <c r="W18" i="112"/>
  <c r="X18" i="112" s="1"/>
  <c r="S18" i="112"/>
  <c r="S17" i="112"/>
  <c r="R16" i="112"/>
  <c r="S16" i="112" s="1"/>
  <c r="H16" i="112"/>
  <c r="X42" i="112" l="1"/>
  <c r="Y42" i="112"/>
  <c r="X40" i="112"/>
  <c r="Y18" i="112"/>
  <c r="Y27" i="112"/>
  <c r="X27" i="112"/>
  <c r="X19" i="112"/>
  <c r="X34" i="112"/>
  <c r="V36" i="112"/>
  <c r="V28" i="112"/>
  <c r="W28" i="112" s="1"/>
  <c r="Y28" i="112" s="1"/>
  <c r="Y50" i="112"/>
  <c r="V16" i="112"/>
  <c r="W16" i="112" s="1"/>
  <c r="Y16" i="112" s="1"/>
  <c r="H35" i="112"/>
  <c r="H14" i="112" s="1"/>
  <c r="H13" i="112" s="1"/>
  <c r="R15" i="112"/>
  <c r="S15" i="112" s="1"/>
  <c r="X38" i="112"/>
  <c r="V21" i="112"/>
  <c r="W21" i="112" s="1"/>
  <c r="X21" i="112" s="1"/>
  <c r="H45" i="112"/>
  <c r="R45" i="112"/>
  <c r="S45" i="112" s="1"/>
  <c r="T14" i="113"/>
  <c r="T52" i="113" s="1"/>
  <c r="Y14" i="113"/>
  <c r="Y52" i="113"/>
  <c r="R35" i="112"/>
  <c r="X25" i="112"/>
  <c r="X41" i="112"/>
  <c r="X44" i="112"/>
  <c r="X50" i="112"/>
  <c r="X43" i="112"/>
  <c r="Y47" i="112"/>
  <c r="Y40" i="112"/>
  <c r="X23" i="112"/>
  <c r="X30" i="112"/>
  <c r="Y30" i="112"/>
  <c r="Y19" i="112"/>
  <c r="Y20" i="112"/>
  <c r="X22" i="112"/>
  <c r="X24" i="112"/>
  <c r="X26" i="112"/>
  <c r="Y32" i="112"/>
  <c r="X37" i="112"/>
  <c r="Y43" i="112"/>
  <c r="Y49" i="112"/>
  <c r="X51" i="112"/>
  <c r="W36" i="112"/>
  <c r="X36" i="112" s="1"/>
  <c r="V35" i="112"/>
  <c r="W35" i="112" s="1"/>
  <c r="X35" i="112" s="1"/>
  <c r="X16" i="112"/>
  <c r="Y17" i="112"/>
  <c r="X28" i="112"/>
  <c r="Y29" i="112"/>
  <c r="V31" i="112"/>
  <c r="X33" i="112"/>
  <c r="Y39" i="112"/>
  <c r="W46" i="112"/>
  <c r="X46" i="112" s="1"/>
  <c r="V45" i="112"/>
  <c r="W45" i="112" s="1"/>
  <c r="Y48" i="112"/>
  <c r="R50" i="111"/>
  <c r="R46" i="111"/>
  <c r="R43" i="111"/>
  <c r="R36" i="111"/>
  <c r="R21" i="111"/>
  <c r="R19" i="111"/>
  <c r="R16" i="111"/>
  <c r="H52" i="112" l="1"/>
  <c r="P15" i="112" s="1"/>
  <c r="T15" i="112" s="1"/>
  <c r="Y21" i="112"/>
  <c r="X45" i="112"/>
  <c r="S35" i="112"/>
  <c r="R14" i="112"/>
  <c r="P35" i="112"/>
  <c r="T35" i="112" s="1"/>
  <c r="P16" i="112"/>
  <c r="T16" i="112" s="1"/>
  <c r="P14" i="112"/>
  <c r="P28" i="112"/>
  <c r="T28" i="112" s="1"/>
  <c r="P45" i="112"/>
  <c r="T45" i="112" s="1"/>
  <c r="Y35" i="112"/>
  <c r="W31" i="112"/>
  <c r="V15" i="112"/>
  <c r="Y46" i="112"/>
  <c r="Y45" i="112"/>
  <c r="Y36" i="112"/>
  <c r="P52" i="112"/>
  <c r="P49" i="112"/>
  <c r="T49" i="112" s="1"/>
  <c r="P48" i="112"/>
  <c r="T48" i="112" s="1"/>
  <c r="P33" i="112"/>
  <c r="T33" i="112" s="1"/>
  <c r="P30" i="112"/>
  <c r="T30" i="112" s="1"/>
  <c r="P29" i="112"/>
  <c r="T29" i="112" s="1"/>
  <c r="P18" i="112"/>
  <c r="T18" i="112" s="1"/>
  <c r="P17" i="112"/>
  <c r="T17" i="112" s="1"/>
  <c r="P51" i="112"/>
  <c r="T51" i="112" s="1"/>
  <c r="P47" i="112"/>
  <c r="T47" i="112" s="1"/>
  <c r="P44" i="112"/>
  <c r="T44" i="112" s="1"/>
  <c r="P42" i="112"/>
  <c r="T42" i="112" s="1"/>
  <c r="P40" i="112"/>
  <c r="T40" i="112" s="1"/>
  <c r="P38" i="112"/>
  <c r="T38" i="112" s="1"/>
  <c r="P36" i="112"/>
  <c r="T36" i="112" s="1"/>
  <c r="P32" i="112"/>
  <c r="T32" i="112" s="1"/>
  <c r="P26" i="112"/>
  <c r="T26" i="112" s="1"/>
  <c r="P24" i="112"/>
  <c r="T24" i="112" s="1"/>
  <c r="P22" i="112"/>
  <c r="T22" i="112" s="1"/>
  <c r="P20" i="112"/>
  <c r="T20" i="112" s="1"/>
  <c r="P50" i="112"/>
  <c r="T50" i="112" s="1"/>
  <c r="P46" i="112"/>
  <c r="T46" i="112" s="1"/>
  <c r="P43" i="112"/>
  <c r="T43" i="112" s="1"/>
  <c r="P41" i="112"/>
  <c r="T41" i="112" s="1"/>
  <c r="P39" i="112"/>
  <c r="T39" i="112" s="1"/>
  <c r="P37" i="112"/>
  <c r="T37" i="112" s="1"/>
  <c r="P34" i="112"/>
  <c r="T34" i="112" s="1"/>
  <c r="P31" i="112"/>
  <c r="T31" i="112" s="1"/>
  <c r="P27" i="112"/>
  <c r="T27" i="112" s="1"/>
  <c r="P25" i="112"/>
  <c r="T25" i="112" s="1"/>
  <c r="P23" i="112"/>
  <c r="T23" i="112" s="1"/>
  <c r="P21" i="112"/>
  <c r="T21" i="112" s="1"/>
  <c r="P19" i="112"/>
  <c r="T19" i="112" s="1"/>
  <c r="P13" i="112"/>
  <c r="R45" i="111"/>
  <c r="S17" i="110"/>
  <c r="S18" i="110"/>
  <c r="S20" i="110"/>
  <c r="S22" i="110"/>
  <c r="S23" i="110"/>
  <c r="S24" i="110"/>
  <c r="S25" i="110"/>
  <c r="S26" i="110"/>
  <c r="S27" i="110"/>
  <c r="S29" i="110"/>
  <c r="S30" i="110"/>
  <c r="S32" i="110"/>
  <c r="S33" i="110"/>
  <c r="S34" i="110"/>
  <c r="S37" i="110"/>
  <c r="S38" i="110"/>
  <c r="S39" i="110"/>
  <c r="S41" i="110"/>
  <c r="S42" i="110"/>
  <c r="S43" i="110"/>
  <c r="S44" i="110"/>
  <c r="S47" i="110"/>
  <c r="S48" i="110"/>
  <c r="S49" i="110"/>
  <c r="S51" i="110"/>
  <c r="S14" i="112" l="1"/>
  <c r="S52" i="112" s="1"/>
  <c r="R52" i="112"/>
  <c r="V52" i="112"/>
  <c r="W52" i="112" s="1"/>
  <c r="V14" i="112"/>
  <c r="W14" i="112" s="1"/>
  <c r="W15" i="112"/>
  <c r="X31" i="112"/>
  <c r="Y31" i="112"/>
  <c r="Q52" i="111"/>
  <c r="T14" i="112" l="1"/>
  <c r="T52" i="112" s="1"/>
  <c r="X14" i="112"/>
  <c r="Y14" i="112"/>
  <c r="X15" i="112"/>
  <c r="Y15" i="112"/>
  <c r="X52" i="112"/>
  <c r="Y52" i="112"/>
  <c r="V47" i="111" l="1"/>
  <c r="V42" i="111"/>
  <c r="V33" i="111"/>
  <c r="V32" i="111"/>
  <c r="W32" i="111"/>
  <c r="U15" i="111"/>
  <c r="U14" i="111" s="1"/>
  <c r="U52" i="111" s="1"/>
  <c r="W51" i="111"/>
  <c r="X51" i="111" s="1"/>
  <c r="S51" i="111"/>
  <c r="V50" i="111"/>
  <c r="W50" i="111" s="1"/>
  <c r="S50" i="111"/>
  <c r="H50" i="111"/>
  <c r="H45" i="111" s="1"/>
  <c r="W49" i="111"/>
  <c r="Y49" i="111" s="1"/>
  <c r="S49" i="111"/>
  <c r="W48" i="111"/>
  <c r="Y48" i="111" s="1"/>
  <c r="S48" i="111"/>
  <c r="W47" i="111"/>
  <c r="Y47" i="111" s="1"/>
  <c r="S47" i="111"/>
  <c r="V46" i="111"/>
  <c r="S46" i="111"/>
  <c r="H46" i="111"/>
  <c r="W44" i="111"/>
  <c r="Y44" i="111" s="1"/>
  <c r="S44" i="111"/>
  <c r="V43" i="111"/>
  <c r="W43" i="111" s="1"/>
  <c r="S43" i="111"/>
  <c r="H43" i="111"/>
  <c r="S42" i="111"/>
  <c r="W41" i="111"/>
  <c r="X41" i="111" s="1"/>
  <c r="S41" i="111"/>
  <c r="R40" i="111"/>
  <c r="H40" i="111"/>
  <c r="S39" i="111"/>
  <c r="W38" i="111"/>
  <c r="X38" i="111" s="1"/>
  <c r="S38" i="111"/>
  <c r="W37" i="111"/>
  <c r="X37" i="111" s="1"/>
  <c r="S37" i="111"/>
  <c r="H36" i="111"/>
  <c r="W34" i="111"/>
  <c r="X34" i="111" s="1"/>
  <c r="S34" i="111"/>
  <c r="W33" i="111"/>
  <c r="X33" i="111" s="1"/>
  <c r="S33" i="111"/>
  <c r="S32" i="111"/>
  <c r="R31" i="111"/>
  <c r="S31" i="111" s="1"/>
  <c r="H31" i="111"/>
  <c r="W30" i="111"/>
  <c r="Y30" i="111" s="1"/>
  <c r="S30" i="111"/>
  <c r="W29" i="111"/>
  <c r="X29" i="111" s="1"/>
  <c r="S29" i="111"/>
  <c r="R28" i="111"/>
  <c r="H28" i="111"/>
  <c r="W27" i="111"/>
  <c r="X27" i="111" s="1"/>
  <c r="S27" i="111"/>
  <c r="W26" i="111"/>
  <c r="Y26" i="111" s="1"/>
  <c r="S26" i="111"/>
  <c r="W25" i="111"/>
  <c r="Y25" i="111" s="1"/>
  <c r="S25" i="111"/>
  <c r="W24" i="111"/>
  <c r="Y24" i="111" s="1"/>
  <c r="S24" i="111"/>
  <c r="W23" i="111"/>
  <c r="Y23" i="111" s="1"/>
  <c r="S23" i="111"/>
  <c r="W22" i="111"/>
  <c r="Y22" i="111" s="1"/>
  <c r="S22" i="111"/>
  <c r="V21" i="111"/>
  <c r="W21" i="111" s="1"/>
  <c r="S21" i="111"/>
  <c r="H21" i="111"/>
  <c r="Y21" i="111" s="1"/>
  <c r="W20" i="111"/>
  <c r="S20" i="111"/>
  <c r="S19" i="111"/>
  <c r="H19" i="111"/>
  <c r="W18" i="111"/>
  <c r="Y18" i="111" s="1"/>
  <c r="S18" i="111"/>
  <c r="W17" i="111"/>
  <c r="Y17" i="111" s="1"/>
  <c r="S17" i="111"/>
  <c r="V16" i="111"/>
  <c r="W16" i="111" s="1"/>
  <c r="S16" i="111"/>
  <c r="H16" i="111"/>
  <c r="H15" i="111" l="1"/>
  <c r="Y50" i="111"/>
  <c r="X16" i="111"/>
  <c r="X25" i="111"/>
  <c r="X43" i="111"/>
  <c r="Y34" i="111"/>
  <c r="X21" i="111"/>
  <c r="X48" i="111"/>
  <c r="S28" i="111"/>
  <c r="R15" i="111"/>
  <c r="S15" i="111" s="1"/>
  <c r="S40" i="111"/>
  <c r="R35" i="111"/>
  <c r="R14" i="111" s="1"/>
  <c r="Y29" i="111"/>
  <c r="X17" i="111"/>
  <c r="X23" i="111"/>
  <c r="Y41" i="111"/>
  <c r="X44" i="111"/>
  <c r="X18" i="111"/>
  <c r="X22" i="111"/>
  <c r="X24" i="111"/>
  <c r="X26" i="111"/>
  <c r="Y27" i="111"/>
  <c r="Y37" i="111"/>
  <c r="X47" i="111"/>
  <c r="X49" i="111"/>
  <c r="Y20" i="111"/>
  <c r="X20" i="111"/>
  <c r="Y16" i="111"/>
  <c r="V31" i="111"/>
  <c r="W31" i="111" s="1"/>
  <c r="X31" i="111" s="1"/>
  <c r="S36" i="111"/>
  <c r="S35" i="111"/>
  <c r="W42" i="111"/>
  <c r="V40" i="111"/>
  <c r="W40" i="111" s="1"/>
  <c r="X40" i="111" s="1"/>
  <c r="Y43" i="111"/>
  <c r="S45" i="111"/>
  <c r="W46" i="111"/>
  <c r="X46" i="111" s="1"/>
  <c r="V45" i="111"/>
  <c r="W45" i="111" s="1"/>
  <c r="X45" i="111" s="1"/>
  <c r="V19" i="111"/>
  <c r="W19" i="111" s="1"/>
  <c r="X19" i="111" s="1"/>
  <c r="V28" i="111"/>
  <c r="W28" i="111" s="1"/>
  <c r="X28" i="111" s="1"/>
  <c r="X30" i="111"/>
  <c r="Y33" i="111"/>
  <c r="H35" i="111"/>
  <c r="Y38" i="111"/>
  <c r="W39" i="111"/>
  <c r="V36" i="111"/>
  <c r="X50" i="111"/>
  <c r="Y51" i="111"/>
  <c r="R40" i="110"/>
  <c r="S40" i="110" s="1"/>
  <c r="Y40" i="111" l="1"/>
  <c r="S14" i="111"/>
  <c r="R52" i="111"/>
  <c r="Y46" i="111"/>
  <c r="Y28" i="111"/>
  <c r="Y39" i="111"/>
  <c r="X39" i="111"/>
  <c r="Y42" i="111"/>
  <c r="X42" i="111"/>
  <c r="Y32" i="111"/>
  <c r="X32" i="111"/>
  <c r="Y45" i="111"/>
  <c r="V35" i="111"/>
  <c r="W35" i="111" s="1"/>
  <c r="X35" i="111" s="1"/>
  <c r="W36" i="111"/>
  <c r="Y35" i="111"/>
  <c r="V15" i="111"/>
  <c r="H14" i="111"/>
  <c r="Y31" i="111"/>
  <c r="Y19" i="111"/>
  <c r="H52" i="111"/>
  <c r="V42" i="110"/>
  <c r="V40" i="110" s="1"/>
  <c r="V39" i="110"/>
  <c r="V36" i="110" s="1"/>
  <c r="W36" i="110" s="1"/>
  <c r="V33" i="110"/>
  <c r="W33" i="110" s="1"/>
  <c r="Y33" i="110" s="1"/>
  <c r="V32" i="110"/>
  <c r="V31" i="110" s="1"/>
  <c r="V29" i="110"/>
  <c r="W29" i="110" s="1"/>
  <c r="X29" i="110" s="1"/>
  <c r="V27" i="110"/>
  <c r="W27" i="110" s="1"/>
  <c r="Y27" i="110" s="1"/>
  <c r="V30" i="110"/>
  <c r="W30" i="110" s="1"/>
  <c r="X30" i="110" s="1"/>
  <c r="V20" i="110"/>
  <c r="W20" i="110" s="1"/>
  <c r="X20" i="110" s="1"/>
  <c r="W51" i="110"/>
  <c r="X51" i="110" s="1"/>
  <c r="V50" i="110"/>
  <c r="W50" i="110" s="1"/>
  <c r="R50" i="110"/>
  <c r="S50" i="110" s="1"/>
  <c r="H50" i="110"/>
  <c r="W49" i="110"/>
  <c r="Y49" i="110" s="1"/>
  <c r="W48" i="110"/>
  <c r="Y48" i="110" s="1"/>
  <c r="W47" i="110"/>
  <c r="Y47" i="110" s="1"/>
  <c r="V46" i="110"/>
  <c r="R46" i="110"/>
  <c r="S46" i="110" s="1"/>
  <c r="H46" i="110"/>
  <c r="W44" i="110"/>
  <c r="Y44" i="110" s="1"/>
  <c r="V43" i="110"/>
  <c r="H43" i="110"/>
  <c r="W42" i="110"/>
  <c r="Y42" i="110" s="1"/>
  <c r="W41" i="110"/>
  <c r="Y41" i="110" s="1"/>
  <c r="H40" i="110"/>
  <c r="W38" i="110"/>
  <c r="Y38" i="110" s="1"/>
  <c r="W37" i="110"/>
  <c r="Y37" i="110" s="1"/>
  <c r="R36" i="110"/>
  <c r="H36" i="110"/>
  <c r="W34" i="110"/>
  <c r="Y34" i="110" s="1"/>
  <c r="R31" i="110"/>
  <c r="S31" i="110" s="1"/>
  <c r="H31" i="110"/>
  <c r="R28" i="110"/>
  <c r="S28" i="110" s="1"/>
  <c r="H28" i="110"/>
  <c r="W26" i="110"/>
  <c r="Y26" i="110" s="1"/>
  <c r="W25" i="110"/>
  <c r="Y25" i="110" s="1"/>
  <c r="W24" i="110"/>
  <c r="Y24" i="110" s="1"/>
  <c r="W23" i="110"/>
  <c r="Y23" i="110" s="1"/>
  <c r="W22" i="110"/>
  <c r="Y22" i="110" s="1"/>
  <c r="R21" i="110"/>
  <c r="S21" i="110" s="1"/>
  <c r="H21" i="110"/>
  <c r="R19" i="110"/>
  <c r="S19" i="110" s="1"/>
  <c r="H19" i="110"/>
  <c r="W18" i="110"/>
  <c r="X18" i="110" s="1"/>
  <c r="W17" i="110"/>
  <c r="X17" i="110" s="1"/>
  <c r="V16" i="110"/>
  <c r="R16" i="110"/>
  <c r="S16" i="110" s="1"/>
  <c r="H16" i="110"/>
  <c r="V45" i="110" l="1"/>
  <c r="W45" i="110" s="1"/>
  <c r="X36" i="110"/>
  <c r="R35" i="110"/>
  <c r="S35" i="110" s="1"/>
  <c r="S36" i="110"/>
  <c r="X24" i="110"/>
  <c r="W32" i="110"/>
  <c r="Y32" i="110" s="1"/>
  <c r="X34" i="110"/>
  <c r="V21" i="110"/>
  <c r="X50" i="110"/>
  <c r="W39" i="110"/>
  <c r="Y39" i="110" s="1"/>
  <c r="V28" i="110"/>
  <c r="W28" i="110" s="1"/>
  <c r="Y28" i="110" s="1"/>
  <c r="H15" i="110"/>
  <c r="X37" i="110"/>
  <c r="Y17" i="110"/>
  <c r="S52" i="111"/>
  <c r="P51" i="111"/>
  <c r="T51" i="111" s="1"/>
  <c r="P42" i="111"/>
  <c r="T42" i="111" s="1"/>
  <c r="P41" i="111"/>
  <c r="T41" i="111" s="1"/>
  <c r="P39" i="111"/>
  <c r="T39" i="111" s="1"/>
  <c r="P38" i="111"/>
  <c r="T38" i="111" s="1"/>
  <c r="P37" i="111"/>
  <c r="T37" i="111" s="1"/>
  <c r="P34" i="111"/>
  <c r="T34" i="111" s="1"/>
  <c r="P32" i="111"/>
  <c r="T32" i="111" s="1"/>
  <c r="P30" i="111"/>
  <c r="T30" i="111" s="1"/>
  <c r="P48" i="111"/>
  <c r="T48" i="111" s="1"/>
  <c r="P46" i="111"/>
  <c r="T46" i="111" s="1"/>
  <c r="P29" i="111"/>
  <c r="T29" i="111" s="1"/>
  <c r="P27" i="111"/>
  <c r="T27" i="111" s="1"/>
  <c r="P25" i="111"/>
  <c r="T25" i="111" s="1"/>
  <c r="P23" i="111"/>
  <c r="T23" i="111" s="1"/>
  <c r="P20" i="111"/>
  <c r="T20" i="111" s="1"/>
  <c r="P52" i="111"/>
  <c r="P49" i="111"/>
  <c r="T49" i="111" s="1"/>
  <c r="P47" i="111"/>
  <c r="T47" i="111" s="1"/>
  <c r="P44" i="111"/>
  <c r="T44" i="111" s="1"/>
  <c r="P33" i="111"/>
  <c r="T33" i="111" s="1"/>
  <c r="P28" i="111"/>
  <c r="T28" i="111" s="1"/>
  <c r="P26" i="111"/>
  <c r="T26" i="111" s="1"/>
  <c r="P24" i="111"/>
  <c r="T24" i="111" s="1"/>
  <c r="P22" i="111"/>
  <c r="T22" i="111" s="1"/>
  <c r="P18" i="111"/>
  <c r="T18" i="111" s="1"/>
  <c r="P17" i="111"/>
  <c r="T17" i="111" s="1"/>
  <c r="P16" i="111"/>
  <c r="T16" i="111" s="1"/>
  <c r="P43" i="111"/>
  <c r="T43" i="111" s="1"/>
  <c r="P21" i="111"/>
  <c r="T21" i="111" s="1"/>
  <c r="P19" i="111"/>
  <c r="T19" i="111" s="1"/>
  <c r="P31" i="111"/>
  <c r="T31" i="111" s="1"/>
  <c r="P15" i="111"/>
  <c r="T15" i="111" s="1"/>
  <c r="P36" i="111"/>
  <c r="T36" i="111" s="1"/>
  <c r="P40" i="111"/>
  <c r="T40" i="111" s="1"/>
  <c r="P45" i="111"/>
  <c r="T45" i="111" s="1"/>
  <c r="P50" i="111"/>
  <c r="T50" i="111" s="1"/>
  <c r="V52" i="111"/>
  <c r="W52" i="111" s="1"/>
  <c r="X52" i="111" s="1"/>
  <c r="W15" i="111"/>
  <c r="V14" i="111"/>
  <c r="W14" i="111" s="1"/>
  <c r="X14" i="111" s="1"/>
  <c r="H13" i="111"/>
  <c r="P13" i="111" s="1"/>
  <c r="P14" i="111"/>
  <c r="T14" i="111" s="1"/>
  <c r="T52" i="111" s="1"/>
  <c r="P35" i="111"/>
  <c r="T35" i="111" s="1"/>
  <c r="X36" i="111"/>
  <c r="Y36" i="111"/>
  <c r="X28" i="110"/>
  <c r="V19" i="110"/>
  <c r="W19" i="110" s="1"/>
  <c r="X19" i="110" s="1"/>
  <c r="X22" i="110"/>
  <c r="X26" i="110"/>
  <c r="X41" i="110"/>
  <c r="R45" i="110"/>
  <c r="S45" i="110" s="1"/>
  <c r="X49" i="110"/>
  <c r="Y51" i="110"/>
  <c r="R15" i="110"/>
  <c r="R52" i="110" s="1"/>
  <c r="W46" i="110"/>
  <c r="X46" i="110" s="1"/>
  <c r="X23" i="110"/>
  <c r="X25" i="110"/>
  <c r="X27" i="110"/>
  <c r="Y29" i="110"/>
  <c r="X33" i="110"/>
  <c r="X38" i="110"/>
  <c r="X42" i="110"/>
  <c r="X44" i="110"/>
  <c r="X48" i="110"/>
  <c r="X47" i="110"/>
  <c r="W16" i="110"/>
  <c r="X16" i="110" s="1"/>
  <c r="Y18" i="110"/>
  <c r="Y20" i="110"/>
  <c r="W21" i="110"/>
  <c r="X21" i="110" s="1"/>
  <c r="Y30" i="110"/>
  <c r="W31" i="110"/>
  <c r="X31" i="110" s="1"/>
  <c r="H35" i="110"/>
  <c r="Y36" i="110"/>
  <c r="V35" i="110"/>
  <c r="W40" i="110"/>
  <c r="X40" i="110" s="1"/>
  <c r="W43" i="110"/>
  <c r="X43" i="110" s="1"/>
  <c r="H45" i="110"/>
  <c r="Y50" i="110"/>
  <c r="V20" i="109"/>
  <c r="W20" i="109" s="1"/>
  <c r="X20" i="109" s="1"/>
  <c r="W51" i="109"/>
  <c r="X51" i="109" s="1"/>
  <c r="S51" i="109"/>
  <c r="V50" i="109"/>
  <c r="U50" i="109"/>
  <c r="R50" i="109"/>
  <c r="Q50" i="109"/>
  <c r="H50" i="109"/>
  <c r="H45" i="109" s="1"/>
  <c r="W49" i="109"/>
  <c r="Y49" i="109" s="1"/>
  <c r="S49" i="109"/>
  <c r="W48" i="109"/>
  <c r="Y48" i="109" s="1"/>
  <c r="S48" i="109"/>
  <c r="W47" i="109"/>
  <c r="Y47" i="109" s="1"/>
  <c r="S47" i="109"/>
  <c r="V46" i="109"/>
  <c r="U46" i="109"/>
  <c r="W46" i="109" s="1"/>
  <c r="X46" i="109" s="1"/>
  <c r="R46" i="109"/>
  <c r="Q46" i="109"/>
  <c r="H46" i="109"/>
  <c r="W44" i="109"/>
  <c r="Y44" i="109" s="1"/>
  <c r="S44" i="109"/>
  <c r="V43" i="109"/>
  <c r="U43" i="109"/>
  <c r="W43" i="109" s="1"/>
  <c r="Q43" i="109"/>
  <c r="S43" i="109" s="1"/>
  <c r="H43" i="109"/>
  <c r="W42" i="109"/>
  <c r="Y42" i="109" s="1"/>
  <c r="S42" i="109"/>
  <c r="W41" i="109"/>
  <c r="Y41" i="109" s="1"/>
  <c r="S41" i="109"/>
  <c r="V40" i="109"/>
  <c r="U40" i="109"/>
  <c r="Q40" i="109"/>
  <c r="S40" i="109" s="1"/>
  <c r="H40" i="109"/>
  <c r="W39" i="109"/>
  <c r="Y39" i="109" s="1"/>
  <c r="S39" i="109"/>
  <c r="W38" i="109"/>
  <c r="Y38" i="109" s="1"/>
  <c r="S38" i="109"/>
  <c r="W37" i="109"/>
  <c r="Y37" i="109" s="1"/>
  <c r="S37" i="109"/>
  <c r="V36" i="109"/>
  <c r="U36" i="109"/>
  <c r="R36" i="109"/>
  <c r="R35" i="109" s="1"/>
  <c r="Q36" i="109"/>
  <c r="H36" i="109"/>
  <c r="W34" i="109"/>
  <c r="Y34" i="109" s="1"/>
  <c r="S34" i="109"/>
  <c r="W33" i="109"/>
  <c r="Y33" i="109" s="1"/>
  <c r="S33" i="109"/>
  <c r="W32" i="109"/>
  <c r="Y32" i="109" s="1"/>
  <c r="S32" i="109"/>
  <c r="V31" i="109"/>
  <c r="U31" i="109"/>
  <c r="R31" i="109"/>
  <c r="Q31" i="109"/>
  <c r="H31" i="109"/>
  <c r="W30" i="109"/>
  <c r="X30" i="109" s="1"/>
  <c r="S30" i="109"/>
  <c r="W29" i="109"/>
  <c r="X29" i="109" s="1"/>
  <c r="S29" i="109"/>
  <c r="V28" i="109"/>
  <c r="U28" i="109"/>
  <c r="R28" i="109"/>
  <c r="Q28" i="109"/>
  <c r="H28" i="109"/>
  <c r="W27" i="109"/>
  <c r="Y27" i="109" s="1"/>
  <c r="S27" i="109"/>
  <c r="W26" i="109"/>
  <c r="Y26" i="109" s="1"/>
  <c r="S26" i="109"/>
  <c r="W25" i="109"/>
  <c r="Y25" i="109" s="1"/>
  <c r="S25" i="109"/>
  <c r="W24" i="109"/>
  <c r="Y24" i="109" s="1"/>
  <c r="S24" i="109"/>
  <c r="W23" i="109"/>
  <c r="Y23" i="109" s="1"/>
  <c r="S23" i="109"/>
  <c r="W22" i="109"/>
  <c r="Y22" i="109" s="1"/>
  <c r="S22" i="109"/>
  <c r="V21" i="109"/>
  <c r="U21" i="109"/>
  <c r="R21" i="109"/>
  <c r="Q21" i="109"/>
  <c r="H21" i="109"/>
  <c r="S20" i="109"/>
  <c r="U19" i="109"/>
  <c r="R19" i="109"/>
  <c r="Q19" i="109"/>
  <c r="H19" i="109"/>
  <c r="W18" i="109"/>
  <c r="Y18" i="109" s="1"/>
  <c r="S18" i="109"/>
  <c r="W17" i="109"/>
  <c r="Y17" i="109" s="1"/>
  <c r="S17" i="109"/>
  <c r="V16" i="109"/>
  <c r="U16" i="109"/>
  <c r="W16" i="109" s="1"/>
  <c r="R16" i="109"/>
  <c r="Q16" i="109"/>
  <c r="H16" i="109"/>
  <c r="W48" i="71"/>
  <c r="X48" i="71" s="1"/>
  <c r="W49" i="71"/>
  <c r="X49" i="71" s="1"/>
  <c r="V46" i="71"/>
  <c r="V36" i="71"/>
  <c r="V31" i="71"/>
  <c r="V28" i="71"/>
  <c r="V21" i="71"/>
  <c r="V19" i="71"/>
  <c r="V16" i="71"/>
  <c r="U50" i="71"/>
  <c r="U46" i="71"/>
  <c r="U16" i="71"/>
  <c r="U43" i="71"/>
  <c r="U40" i="71"/>
  <c r="U36" i="71"/>
  <c r="U31" i="71"/>
  <c r="U28" i="71"/>
  <c r="U21" i="71"/>
  <c r="U19" i="71"/>
  <c r="U15" i="71" s="1"/>
  <c r="Q50" i="71"/>
  <c r="Q46" i="71"/>
  <c r="Q45" i="71" s="1"/>
  <c r="S48" i="71"/>
  <c r="S49" i="71"/>
  <c r="Q43" i="71"/>
  <c r="Q40" i="71"/>
  <c r="Q36" i="71"/>
  <c r="Q35" i="71" s="1"/>
  <c r="R19" i="71"/>
  <c r="Q31" i="71"/>
  <c r="Q28" i="71"/>
  <c r="Q21" i="71"/>
  <c r="Q19" i="71"/>
  <c r="Q16" i="71"/>
  <c r="H46" i="71"/>
  <c r="Q15" i="71" l="1"/>
  <c r="Q14" i="71" s="1"/>
  <c r="Q52" i="71" s="1"/>
  <c r="Y49" i="71"/>
  <c r="V19" i="109"/>
  <c r="U35" i="71"/>
  <c r="U14" i="71" s="1"/>
  <c r="U52" i="71" s="1"/>
  <c r="Y48" i="71"/>
  <c r="W31" i="109"/>
  <c r="V15" i="110"/>
  <c r="V14" i="110" s="1"/>
  <c r="W14" i="110" s="1"/>
  <c r="X17" i="109"/>
  <c r="H15" i="109"/>
  <c r="X44" i="109"/>
  <c r="U45" i="71"/>
  <c r="X16" i="109"/>
  <c r="X32" i="109"/>
  <c r="X24" i="109"/>
  <c r="U45" i="109"/>
  <c r="W45" i="109" s="1"/>
  <c r="X45" i="109" s="1"/>
  <c r="X47" i="109"/>
  <c r="Q15" i="109"/>
  <c r="S31" i="109"/>
  <c r="Y43" i="109"/>
  <c r="U15" i="109"/>
  <c r="X31" i="109"/>
  <c r="R15" i="109"/>
  <c r="X38" i="109"/>
  <c r="R14" i="110"/>
  <c r="S14" i="110" s="1"/>
  <c r="S15" i="110"/>
  <c r="S46" i="109"/>
  <c r="Q35" i="109"/>
  <c r="S35" i="109" s="1"/>
  <c r="X39" i="110"/>
  <c r="X32" i="110"/>
  <c r="Y14" i="111"/>
  <c r="X15" i="111"/>
  <c r="Y15" i="111"/>
  <c r="Y52" i="111"/>
  <c r="Y16" i="110"/>
  <c r="S52" i="110"/>
  <c r="S21" i="109"/>
  <c r="X22" i="109"/>
  <c r="X26" i="109"/>
  <c r="X34" i="109"/>
  <c r="V35" i="109"/>
  <c r="W40" i="109"/>
  <c r="X40" i="109" s="1"/>
  <c r="X41" i="109"/>
  <c r="R45" i="109"/>
  <c r="V45" i="109"/>
  <c r="X49" i="109"/>
  <c r="S50" i="109"/>
  <c r="X43" i="109"/>
  <c r="Q45" i="109"/>
  <c r="Y46" i="109"/>
  <c r="X48" i="109"/>
  <c r="X18" i="109"/>
  <c r="X23" i="109"/>
  <c r="X25" i="109"/>
  <c r="X27" i="109"/>
  <c r="S28" i="109"/>
  <c r="W28" i="109"/>
  <c r="X28" i="109" s="1"/>
  <c r="X33" i="109"/>
  <c r="H35" i="109"/>
  <c r="H14" i="109" s="1"/>
  <c r="H13" i="109" s="1"/>
  <c r="U35" i="109"/>
  <c r="S36" i="109"/>
  <c r="W36" i="109"/>
  <c r="X36" i="109" s="1"/>
  <c r="X37" i="109"/>
  <c r="X39" i="109"/>
  <c r="X42" i="109"/>
  <c r="W50" i="109"/>
  <c r="X50" i="109" s="1"/>
  <c r="Y46" i="110"/>
  <c r="W15" i="110"/>
  <c r="X15" i="110" s="1"/>
  <c r="Y43" i="110"/>
  <c r="Y45" i="110"/>
  <c r="Y40" i="110"/>
  <c r="Y19" i="110"/>
  <c r="H52" i="110"/>
  <c r="H14" i="110"/>
  <c r="Y31" i="110"/>
  <c r="Y21" i="110"/>
  <c r="X45" i="110"/>
  <c r="W35" i="110"/>
  <c r="X35" i="110" s="1"/>
  <c r="W19" i="109"/>
  <c r="X19" i="109" s="1"/>
  <c r="S19" i="109"/>
  <c r="Y16" i="109"/>
  <c r="S16" i="109"/>
  <c r="V15" i="109"/>
  <c r="Y20" i="109"/>
  <c r="W21" i="109"/>
  <c r="X21" i="109" s="1"/>
  <c r="Y31" i="109"/>
  <c r="Y29" i="109"/>
  <c r="Y30" i="109"/>
  <c r="Y51" i="109"/>
  <c r="H40" i="71"/>
  <c r="W41" i="71"/>
  <c r="Y41" i="71" s="1"/>
  <c r="S41" i="71"/>
  <c r="W38" i="71"/>
  <c r="S38" i="71"/>
  <c r="W51" i="71"/>
  <c r="X51" i="71" s="1"/>
  <c r="S51" i="71"/>
  <c r="V50" i="71"/>
  <c r="V45" i="71" s="1"/>
  <c r="R50" i="71"/>
  <c r="S50" i="71" s="1"/>
  <c r="H50" i="71"/>
  <c r="W47" i="71"/>
  <c r="Y47" i="71" s="1"/>
  <c r="S47" i="71"/>
  <c r="R46" i="71"/>
  <c r="R45" i="71" s="1"/>
  <c r="S45" i="71"/>
  <c r="H45" i="71"/>
  <c r="W44" i="71"/>
  <c r="Y44" i="71" s="1"/>
  <c r="S44" i="71"/>
  <c r="V43" i="71"/>
  <c r="W43" i="71" s="1"/>
  <c r="S43" i="71"/>
  <c r="H43" i="71"/>
  <c r="W42" i="71"/>
  <c r="Y42" i="71" s="1"/>
  <c r="S42" i="71"/>
  <c r="V40" i="71"/>
  <c r="S40" i="71"/>
  <c r="S39" i="71"/>
  <c r="W37" i="71"/>
  <c r="X37" i="71" s="1"/>
  <c r="S37" i="71"/>
  <c r="R36" i="71"/>
  <c r="R35" i="71" s="1"/>
  <c r="H36" i="71"/>
  <c r="W34" i="71"/>
  <c r="X34" i="71" s="1"/>
  <c r="S34" i="71"/>
  <c r="W33" i="71"/>
  <c r="X33" i="71" s="1"/>
  <c r="S33" i="71"/>
  <c r="S32" i="71"/>
  <c r="R31" i="71"/>
  <c r="S31" i="71" s="1"/>
  <c r="H31" i="71"/>
  <c r="S30" i="71"/>
  <c r="W29" i="71"/>
  <c r="X29" i="71" s="1"/>
  <c r="S29" i="71"/>
  <c r="R28" i="71"/>
  <c r="S28" i="71" s="1"/>
  <c r="H28" i="71"/>
  <c r="W27" i="71"/>
  <c r="Y27" i="71" s="1"/>
  <c r="S27" i="71"/>
  <c r="W26" i="71"/>
  <c r="X26" i="71" s="1"/>
  <c r="S26" i="71"/>
  <c r="W25" i="71"/>
  <c r="X25" i="71" s="1"/>
  <c r="S25" i="71"/>
  <c r="W24" i="71"/>
  <c r="X24" i="71" s="1"/>
  <c r="S24" i="71"/>
  <c r="W23" i="71"/>
  <c r="X23" i="71" s="1"/>
  <c r="S23" i="71"/>
  <c r="W22" i="71"/>
  <c r="X22" i="71" s="1"/>
  <c r="S22" i="71"/>
  <c r="W21" i="71"/>
  <c r="R21" i="71"/>
  <c r="S21" i="71" s="1"/>
  <c r="H21" i="71"/>
  <c r="W20" i="71"/>
  <c r="X20" i="71" s="1"/>
  <c r="S20" i="71"/>
  <c r="W19" i="71"/>
  <c r="S19" i="71"/>
  <c r="H19" i="71"/>
  <c r="W18" i="71"/>
  <c r="X18" i="71" s="1"/>
  <c r="S18" i="71"/>
  <c r="W17" i="71"/>
  <c r="X17" i="71" s="1"/>
  <c r="S17" i="71"/>
  <c r="W16" i="71"/>
  <c r="R16" i="71"/>
  <c r="H16" i="71"/>
  <c r="U14" i="109" l="1"/>
  <c r="U52" i="109" s="1"/>
  <c r="W35" i="109"/>
  <c r="Y35" i="109" s="1"/>
  <c r="Y40" i="109"/>
  <c r="V52" i="110"/>
  <c r="W52" i="110" s="1"/>
  <c r="Y52" i="110" s="1"/>
  <c r="Y26" i="71"/>
  <c r="Y24" i="71"/>
  <c r="X42" i="71"/>
  <c r="Y19" i="71"/>
  <c r="X44" i="71"/>
  <c r="H52" i="109"/>
  <c r="P20" i="109" s="1"/>
  <c r="T20" i="109" s="1"/>
  <c r="S46" i="71"/>
  <c r="W40" i="71"/>
  <c r="X40" i="71" s="1"/>
  <c r="V35" i="71"/>
  <c r="X47" i="71"/>
  <c r="X41" i="71"/>
  <c r="S16" i="71"/>
  <c r="R15" i="71"/>
  <c r="R14" i="71" s="1"/>
  <c r="S45" i="109"/>
  <c r="Y45" i="109"/>
  <c r="W50" i="71"/>
  <c r="X50" i="71" s="1"/>
  <c r="Y50" i="109"/>
  <c r="Y21" i="109"/>
  <c r="Y19" i="109"/>
  <c r="Y28" i="109"/>
  <c r="X35" i="109"/>
  <c r="R52" i="109"/>
  <c r="Y36" i="109"/>
  <c r="Y15" i="110"/>
  <c r="Y35" i="110"/>
  <c r="Y14" i="110"/>
  <c r="H13" i="110"/>
  <c r="P13" i="110" s="1"/>
  <c r="P14" i="110"/>
  <c r="T14" i="110" s="1"/>
  <c r="X14" i="110"/>
  <c r="P51" i="110"/>
  <c r="T51" i="110" s="1"/>
  <c r="P30" i="110"/>
  <c r="T30" i="110" s="1"/>
  <c r="P29" i="110"/>
  <c r="T29" i="110" s="1"/>
  <c r="P18" i="110"/>
  <c r="T18" i="110" s="1"/>
  <c r="P17" i="110"/>
  <c r="T17" i="110" s="1"/>
  <c r="P52" i="110"/>
  <c r="T52" i="110" s="1"/>
  <c r="P49" i="110"/>
  <c r="T49" i="110" s="1"/>
  <c r="P47" i="110"/>
  <c r="T47" i="110" s="1"/>
  <c r="P42" i="110"/>
  <c r="T42" i="110" s="1"/>
  <c r="P39" i="110"/>
  <c r="T39" i="110" s="1"/>
  <c r="P37" i="110"/>
  <c r="T37" i="110" s="1"/>
  <c r="P33" i="110"/>
  <c r="T33" i="110" s="1"/>
  <c r="P31" i="110"/>
  <c r="T31" i="110" s="1"/>
  <c r="P27" i="110"/>
  <c r="T27" i="110" s="1"/>
  <c r="P25" i="110"/>
  <c r="T25" i="110" s="1"/>
  <c r="P23" i="110"/>
  <c r="T23" i="110" s="1"/>
  <c r="P21" i="110"/>
  <c r="T21" i="110" s="1"/>
  <c r="P19" i="110"/>
  <c r="T19" i="110" s="1"/>
  <c r="P48" i="110"/>
  <c r="T48" i="110" s="1"/>
  <c r="P46" i="110"/>
  <c r="T46" i="110" s="1"/>
  <c r="P44" i="110"/>
  <c r="T44" i="110" s="1"/>
  <c r="P41" i="110"/>
  <c r="T41" i="110" s="1"/>
  <c r="P38" i="110"/>
  <c r="T38" i="110" s="1"/>
  <c r="P36" i="110"/>
  <c r="T36" i="110" s="1"/>
  <c r="P34" i="110"/>
  <c r="T34" i="110" s="1"/>
  <c r="P32" i="110"/>
  <c r="T32" i="110" s="1"/>
  <c r="P26" i="110"/>
  <c r="T26" i="110" s="1"/>
  <c r="P24" i="110"/>
  <c r="T24" i="110" s="1"/>
  <c r="P22" i="110"/>
  <c r="T22" i="110" s="1"/>
  <c r="P20" i="110"/>
  <c r="T20" i="110" s="1"/>
  <c r="P16" i="110"/>
  <c r="T16" i="110" s="1"/>
  <c r="P40" i="110"/>
  <c r="T40" i="110" s="1"/>
  <c r="P43" i="110"/>
  <c r="T43" i="110" s="1"/>
  <c r="P15" i="110"/>
  <c r="T15" i="110" s="1"/>
  <c r="P28" i="110"/>
  <c r="T28" i="110" s="1"/>
  <c r="P50" i="110"/>
  <c r="T50" i="110" s="1"/>
  <c r="X52" i="110"/>
  <c r="P35" i="110"/>
  <c r="T35" i="110" s="1"/>
  <c r="P45" i="110"/>
  <c r="T45" i="110" s="1"/>
  <c r="S15" i="109"/>
  <c r="V52" i="109"/>
  <c r="W52" i="109" s="1"/>
  <c r="X52" i="109" s="1"/>
  <c r="V14" i="109"/>
  <c r="W14" i="109" s="1"/>
  <c r="P51" i="109"/>
  <c r="T51" i="109" s="1"/>
  <c r="P30" i="109"/>
  <c r="T30" i="109" s="1"/>
  <c r="P29" i="109"/>
  <c r="T29" i="109" s="1"/>
  <c r="P39" i="109"/>
  <c r="T39" i="109" s="1"/>
  <c r="P38" i="109"/>
  <c r="T38" i="109" s="1"/>
  <c r="P37" i="109"/>
  <c r="T37" i="109" s="1"/>
  <c r="P36" i="109"/>
  <c r="T36" i="109" s="1"/>
  <c r="P34" i="109"/>
  <c r="T34" i="109" s="1"/>
  <c r="P33" i="109"/>
  <c r="T33" i="109" s="1"/>
  <c r="P32" i="109"/>
  <c r="T32" i="109" s="1"/>
  <c r="P17" i="109"/>
  <c r="T17" i="109" s="1"/>
  <c r="P16" i="109"/>
  <c r="T16" i="109" s="1"/>
  <c r="Q52" i="109"/>
  <c r="S52" i="109" s="1"/>
  <c r="P14" i="109"/>
  <c r="P35" i="109"/>
  <c r="T35" i="109" s="1"/>
  <c r="P19" i="109"/>
  <c r="T19" i="109" s="1"/>
  <c r="P15" i="109"/>
  <c r="W15" i="109"/>
  <c r="Y33" i="71"/>
  <c r="Y22" i="71"/>
  <c r="Y50" i="71"/>
  <c r="X43" i="71"/>
  <c r="Y38" i="71"/>
  <c r="X38" i="71"/>
  <c r="X21" i="71"/>
  <c r="X19" i="71"/>
  <c r="X16" i="71"/>
  <c r="Y21" i="71"/>
  <c r="H35" i="71"/>
  <c r="Y43" i="71"/>
  <c r="W46" i="71"/>
  <c r="X46" i="71" s="1"/>
  <c r="W45" i="71"/>
  <c r="X45" i="71" s="1"/>
  <c r="Y16" i="71"/>
  <c r="Y17" i="71"/>
  <c r="Y18" i="71"/>
  <c r="Y20" i="71"/>
  <c r="H15" i="71"/>
  <c r="Y23" i="71"/>
  <c r="Y25" i="71"/>
  <c r="X27" i="71"/>
  <c r="Y29" i="71"/>
  <c r="W30" i="71"/>
  <c r="W32" i="71"/>
  <c r="W31" i="71"/>
  <c r="X31" i="71" s="1"/>
  <c r="Y34" i="71"/>
  <c r="S36" i="71"/>
  <c r="S35" i="71"/>
  <c r="Y37" i="71"/>
  <c r="W39" i="71"/>
  <c r="Y51" i="71"/>
  <c r="P44" i="109" l="1"/>
  <c r="T44" i="109" s="1"/>
  <c r="P46" i="109"/>
  <c r="T46" i="109" s="1"/>
  <c r="P47" i="109"/>
  <c r="T47" i="109" s="1"/>
  <c r="P41" i="109"/>
  <c r="T41" i="109" s="1"/>
  <c r="P24" i="109"/>
  <c r="T24" i="109" s="1"/>
  <c r="P25" i="109"/>
  <c r="T25" i="109" s="1"/>
  <c r="P48" i="109"/>
  <c r="T48" i="109" s="1"/>
  <c r="P26" i="109"/>
  <c r="T26" i="109" s="1"/>
  <c r="P49" i="109"/>
  <c r="T49" i="109" s="1"/>
  <c r="P23" i="109"/>
  <c r="T23" i="109" s="1"/>
  <c r="P42" i="109"/>
  <c r="T42" i="109" s="1"/>
  <c r="P43" i="109"/>
  <c r="T43" i="109" s="1"/>
  <c r="Y40" i="71"/>
  <c r="P27" i="109"/>
  <c r="T27" i="109" s="1"/>
  <c r="P21" i="109"/>
  <c r="T21" i="109" s="1"/>
  <c r="P18" i="109"/>
  <c r="T18" i="109" s="1"/>
  <c r="P22" i="109"/>
  <c r="T22" i="109" s="1"/>
  <c r="P13" i="109"/>
  <c r="P52" i="109"/>
  <c r="P31" i="109"/>
  <c r="T31" i="109" s="1"/>
  <c r="Y52" i="109"/>
  <c r="P28" i="109"/>
  <c r="T28" i="109" s="1"/>
  <c r="P50" i="109"/>
  <c r="T50" i="109" s="1"/>
  <c r="P40" i="109"/>
  <c r="T40" i="109" s="1"/>
  <c r="P45" i="109"/>
  <c r="T45" i="109" s="1"/>
  <c r="T15" i="109"/>
  <c r="X15" i="109"/>
  <c r="Y15" i="109"/>
  <c r="T52" i="109"/>
  <c r="X14" i="109"/>
  <c r="Y14" i="109"/>
  <c r="Y45" i="71"/>
  <c r="W36" i="71"/>
  <c r="W35" i="71"/>
  <c r="X35" i="71" s="1"/>
  <c r="Y31" i="71"/>
  <c r="W28" i="71"/>
  <c r="V15" i="71"/>
  <c r="S15" i="71"/>
  <c r="Y39" i="71"/>
  <c r="X39" i="71"/>
  <c r="Y32" i="71"/>
  <c r="X32" i="71"/>
  <c r="Y30" i="71"/>
  <c r="X30" i="71"/>
  <c r="H52" i="71"/>
  <c r="H14" i="71"/>
  <c r="Y46" i="71"/>
  <c r="L26" i="107"/>
  <c r="P15" i="71" l="1"/>
  <c r="P41" i="71"/>
  <c r="T41" i="71" s="1"/>
  <c r="P38" i="71"/>
  <c r="T38" i="71" s="1"/>
  <c r="P49" i="71"/>
  <c r="T49" i="71" s="1"/>
  <c r="P48" i="71"/>
  <c r="T48" i="71" s="1"/>
  <c r="P46" i="71"/>
  <c r="T15" i="71"/>
  <c r="Y35" i="71"/>
  <c r="P35" i="71"/>
  <c r="T35" i="71" s="1"/>
  <c r="P51" i="71"/>
  <c r="T51" i="71" s="1"/>
  <c r="P39" i="71"/>
  <c r="T39" i="71" s="1"/>
  <c r="P37" i="71"/>
  <c r="T37" i="71" s="1"/>
  <c r="P34" i="71"/>
  <c r="T34" i="71" s="1"/>
  <c r="P32" i="71"/>
  <c r="T32" i="71" s="1"/>
  <c r="P30" i="71"/>
  <c r="T30" i="71" s="1"/>
  <c r="P29" i="71"/>
  <c r="T29" i="71" s="1"/>
  <c r="P27" i="71"/>
  <c r="T27" i="71" s="1"/>
  <c r="P26" i="71"/>
  <c r="T26" i="71" s="1"/>
  <c r="P25" i="71"/>
  <c r="T25" i="71" s="1"/>
  <c r="P24" i="71"/>
  <c r="T24" i="71" s="1"/>
  <c r="P23" i="71"/>
  <c r="T23" i="71" s="1"/>
  <c r="T46" i="71"/>
  <c r="P42" i="71"/>
  <c r="T42" i="71" s="1"/>
  <c r="P33" i="71"/>
  <c r="T33" i="71" s="1"/>
  <c r="P18" i="71"/>
  <c r="T18" i="71" s="1"/>
  <c r="P17" i="71"/>
  <c r="T17" i="71" s="1"/>
  <c r="P22" i="71"/>
  <c r="T22" i="71" s="1"/>
  <c r="P21" i="71"/>
  <c r="T21" i="71" s="1"/>
  <c r="P20" i="71"/>
  <c r="T20" i="71" s="1"/>
  <c r="P19" i="71"/>
  <c r="T19" i="71" s="1"/>
  <c r="P52" i="71"/>
  <c r="P47" i="71"/>
  <c r="T47" i="71" s="1"/>
  <c r="P44" i="71"/>
  <c r="T44" i="71" s="1"/>
  <c r="P16" i="71"/>
  <c r="T16" i="71" s="1"/>
  <c r="P28" i="71"/>
  <c r="T28" i="71" s="1"/>
  <c r="P31" i="71"/>
  <c r="T31" i="71" s="1"/>
  <c r="P45" i="71"/>
  <c r="T45" i="71" s="1"/>
  <c r="P50" i="71"/>
  <c r="T50" i="71" s="1"/>
  <c r="P36" i="71"/>
  <c r="T36" i="71" s="1"/>
  <c r="P43" i="71"/>
  <c r="T43" i="71" s="1"/>
  <c r="P40" i="71"/>
  <c r="T40" i="71" s="1"/>
  <c r="R52" i="71"/>
  <c r="S52" i="71" s="1"/>
  <c r="S14" i="71"/>
  <c r="X28" i="71"/>
  <c r="Y28" i="71"/>
  <c r="P14" i="71"/>
  <c r="H13" i="71"/>
  <c r="P13" i="71" s="1"/>
  <c r="W15" i="71"/>
  <c r="V14" i="71"/>
  <c r="W14" i="71" s="1"/>
  <c r="X14" i="71" s="1"/>
  <c r="V52" i="71"/>
  <c r="W52" i="71" s="1"/>
  <c r="X52" i="71" s="1"/>
  <c r="X36" i="71"/>
  <c r="Y36" i="71"/>
  <c r="T14" i="71" l="1"/>
  <c r="X15" i="71"/>
  <c r="Y15" i="71"/>
  <c r="Y14" i="71"/>
  <c r="T52" i="71"/>
  <c r="Y52" i="71"/>
  <c r="E26" i="107" l="1"/>
  <c r="K26" i="107" l="1"/>
  <c r="F26" i="107"/>
  <c r="D26" i="107"/>
  <c r="C26" i="107"/>
  <c r="B26" i="107"/>
  <c r="A26" i="107"/>
  <c r="C88" i="107" l="1"/>
  <c r="B86" i="107"/>
  <c r="B90" i="107" s="1"/>
  <c r="C38" i="107"/>
  <c r="B36" i="107"/>
  <c r="B40" i="107" s="1"/>
  <c r="M26" i="107" l="1"/>
  <c r="L30" i="107" s="1"/>
  <c r="L32" i="107" s="1"/>
</calcChain>
</file>

<file path=xl/sharedStrings.xml><?xml version="1.0" encoding="utf-8"?>
<sst xmlns="http://schemas.openxmlformats.org/spreadsheetml/2006/main" count="3997" uniqueCount="147">
  <si>
    <t>REALISASI</t>
  </si>
  <si>
    <t>LOKASI</t>
  </si>
  <si>
    <t>PAGU</t>
  </si>
  <si>
    <t>SUMBER DANA</t>
  </si>
  <si>
    <t xml:space="preserve">MASA PELAKSANAAN </t>
  </si>
  <si>
    <t>MULAI</t>
  </si>
  <si>
    <t>SELESAI</t>
  </si>
  <si>
    <t>NOMOR DAN TANGGAL KONTRAK</t>
  </si>
  <si>
    <t>NILAI KONTRAK (Rp.)</t>
  </si>
  <si>
    <t>BOBOT TERTIMBANG</t>
  </si>
  <si>
    <t>FISIK</t>
  </si>
  <si>
    <t>KEUANGAN</t>
  </si>
  <si>
    <t>KET.</t>
  </si>
  <si>
    <t>15=13+14</t>
  </si>
  <si>
    <t>19=(17+18)</t>
  </si>
  <si>
    <t>16= (12*15)/100</t>
  </si>
  <si>
    <t>Januari</t>
  </si>
  <si>
    <t>Desember</t>
  </si>
  <si>
    <t>(%)</t>
  </si>
  <si>
    <t xml:space="preserve">S.D BULAN LALU </t>
  </si>
  <si>
    <t xml:space="preserve"> (%)</t>
  </si>
  <si>
    <t>BULAN INI</t>
  </si>
  <si>
    <t>S.D BULAN LALU</t>
  </si>
  <si>
    <t>(Rp.)</t>
  </si>
  <si>
    <t xml:space="preserve"> (Rp.)</t>
  </si>
  <si>
    <t>S.D BULAN INI</t>
  </si>
  <si>
    <t>PENYEDIA JASA/NAMA PERUSAHAAN</t>
  </si>
  <si>
    <t>KABUPATEN TOBA,</t>
  </si>
  <si>
    <t>PEMERINTAH KABUPATEN TOBA</t>
  </si>
  <si>
    <t>PROGRAM PENUNJANG URUSAN PEMERINTAHAN DAERAH KABUPATEN/KOTA</t>
  </si>
  <si>
    <t>Administrasi Keuangan Perangkat Daerah</t>
  </si>
  <si>
    <t>Administrasi Umum Perangkat Daerah</t>
  </si>
  <si>
    <t>Penyediaan Komponen Instalasi Listrik/Penerangan Bangunan Kantor</t>
  </si>
  <si>
    <t>Penyediaan Jasa Penunjang Urusan Pemerintahan Daerah</t>
  </si>
  <si>
    <t>Penyediaan Jasa Pelayanan Umum Kantor</t>
  </si>
  <si>
    <t>Pemeliharaan Barang Milik Daerah Penunjang Urusan Pemerintahan Daerah</t>
  </si>
  <si>
    <t>Pemeliharaan Peralatan dan Mesin Lainnya</t>
  </si>
  <si>
    <t>Urusan</t>
  </si>
  <si>
    <t>Bidang Urusan</t>
  </si>
  <si>
    <t>Program</t>
  </si>
  <si>
    <t>Kegiatan</t>
  </si>
  <si>
    <t>Sub Kegiatan</t>
  </si>
  <si>
    <t>2.01</t>
  </si>
  <si>
    <t>2.02</t>
  </si>
  <si>
    <t>2.06</t>
  </si>
  <si>
    <t>2.08</t>
  </si>
  <si>
    <t>2.09</t>
  </si>
  <si>
    <t>KODE</t>
  </si>
  <si>
    <t>Penyediaan Jasa Komunikasi, Sumber Daya Air dan Listrik</t>
  </si>
  <si>
    <t>Penyelenggaraan Rapat Koordinasi dan Konsultasi SKPD</t>
  </si>
  <si>
    <t>Fasilitasi Kunjungan Tamu</t>
  </si>
  <si>
    <t>Penyediaan Barang Cetakan dan Penggandaan</t>
  </si>
  <si>
    <t>Penyediaan Peralatan Rumah Tangga</t>
  </si>
  <si>
    <t>Penyediaan Peralatan dan Perlengkapan Kantor</t>
  </si>
  <si>
    <t>Penyediaan Gaji dan Tunjangan ASN</t>
  </si>
  <si>
    <t>Koordinasi dan Penyusunan Laporan Capaian Kinerja dan Ikhtisar Realisasi Kinerja SKPD</t>
  </si>
  <si>
    <t>Perencanaan, Penganggaran, dan Evaluasi Kinerja Perangkat Daerah</t>
  </si>
  <si>
    <t>TOTAL</t>
  </si>
  <si>
    <t>OPD</t>
  </si>
  <si>
    <t>BULAN</t>
  </si>
  <si>
    <t>:</t>
  </si>
  <si>
    <t>SISA           ANGGARAN</t>
  </si>
  <si>
    <t>PENANG GUNG JAWAB/ NAMA REKANAN</t>
  </si>
  <si>
    <t>PEMBINA TK. I</t>
  </si>
  <si>
    <t>Penyediaan Jasa Pemeliharaan, Biaya Pemeliharaan, dan Pajak Kendaraan Perorangan Dinas atau Kendaraan Dinas Jabatan</t>
  </si>
  <si>
    <t>JANUARI</t>
  </si>
  <si>
    <t>URUSAN/PROGRAM /KEGIATAN/SUB KEGIATAN</t>
  </si>
  <si>
    <t>BOBOT TERTIM BANG</t>
  </si>
  <si>
    <t>DAU Umum</t>
  </si>
  <si>
    <t>DAU Umum, Penggajian P3K</t>
  </si>
  <si>
    <t>URUSAN PEMERINTAHAN WAJIB YANG BERKAITAN DENGAN PELAYANAN DASAR</t>
  </si>
  <si>
    <t>URUSAN PEMERINTAHAN BIDANG KETENTRAMAN DAN KETERTIBAN UMUM SERTA PERLINDUNGAN MASYARAKAT</t>
  </si>
  <si>
    <t>05</t>
  </si>
  <si>
    <t>Penyusunan Dokumen Perencanaan Perangkat Daerah</t>
  </si>
  <si>
    <t xml:space="preserve">SATUAN POLISI PAMONG PRAJA </t>
  </si>
  <si>
    <t>Satpol PP</t>
  </si>
  <si>
    <t>PROGRAM PENINGKATAN KETENTRAMAN DAN KETERTIBAN UMUM</t>
  </si>
  <si>
    <t>Penanganan gangguan ketentraman dan ketertiban umum dalam 1 (satu) daerah kabupaten/ kota</t>
  </si>
  <si>
    <t>Pencegahan Gangguan Ketentraman dan Ketertban Umum melalui Deteksi Dini dan Cegah Dini, Pembinaan dan Penyuluhan, Pelaksanaan Patroli, Pengamanan, dan Pengawalan</t>
  </si>
  <si>
    <t>Pemberdayaan Perlindungan Masyarakat dalam rangka Ketenteraman dan Ketertiban Umum</t>
  </si>
  <si>
    <t>Penegakan Peraturan Daerah Kabupaten/Kota dan Peraturan Bupati/Walikota</t>
  </si>
  <si>
    <t>Pembinaan Penyidik Pegawai Ngeri Sipil (PPNS) Kabupaten/Kota</t>
  </si>
  <si>
    <t>Pengembangan Kapasitas dan Karier PPNS</t>
  </si>
  <si>
    <t>Pemadaman dan Pengendalian Kebakaran dalam Daerah Kabupaten/Kota</t>
  </si>
  <si>
    <t>Pemberdayaan Masyarakat dalam Pencegahan Kebakaran</t>
  </si>
  <si>
    <t>Pemberdayaan Masyarakat dalam pencegahan dan Penanggulangan Kebakaran Melalui Sosialisasi dan Edukasi Masyarakat</t>
  </si>
  <si>
    <t>DBH-CHT</t>
  </si>
  <si>
    <t>DAU BIDANG PENDIDIKAN</t>
  </si>
  <si>
    <t>KEPALA SATUAN POLISI PAMONG PRAJA</t>
  </si>
  <si>
    <t>HARIANTO H. BUTARBUTAR, S.E., M.Si</t>
  </si>
  <si>
    <t>NIP. 19780118 200502 1 001</t>
  </si>
  <si>
    <t>LAPORAN REALISASI FISIK DAN KEUANGAN  SATUAN POLISI PAMONG PRAJA</t>
  </si>
  <si>
    <t>Penanganan Atas Pelanggaran Peraturan Daerah dan Peraturan Kepala Daerah</t>
  </si>
  <si>
    <t>2.03</t>
  </si>
  <si>
    <t>Mei</t>
  </si>
  <si>
    <t>Februari</t>
  </si>
  <si>
    <t>Maret</t>
  </si>
  <si>
    <t>April</t>
  </si>
  <si>
    <t>Juni</t>
  </si>
  <si>
    <t>Juli</t>
  </si>
  <si>
    <t>Agustus</t>
  </si>
  <si>
    <t>September</t>
  </si>
  <si>
    <t>Oktober</t>
  </si>
  <si>
    <t>Nopember</t>
  </si>
  <si>
    <t>PROGRAM PENCEGAHAN PENANGGULANGAN, PENYELAMATAN KEBAKARAN DAN PENYELAMATAN NON KEBAKARAN</t>
  </si>
  <si>
    <t>Pencegahan, Pengendalian, Pemadaman, Penyelamatan dan Penanganan Bahan Berbahaya dan Beracun Kebakaran dalam Dalam Daerah Kabupaten/Kota</t>
  </si>
  <si>
    <t>2.04</t>
  </si>
  <si>
    <t>ATK tw III</t>
  </si>
  <si>
    <t>kertas/cover</t>
  </si>
  <si>
    <t>bahan komputer</t>
  </si>
  <si>
    <t>tissue</t>
  </si>
  <si>
    <t>cetak/ft.copy</t>
  </si>
  <si>
    <t>komponen listrik</t>
  </si>
  <si>
    <t>peralatan RT</t>
  </si>
  <si>
    <t>pemeliharaan R4</t>
  </si>
  <si>
    <t>lembur</t>
  </si>
  <si>
    <t>Total</t>
  </si>
  <si>
    <t>TAHUN ANGGARAN 2025</t>
  </si>
  <si>
    <t>Peningkatan Kapasitas SDM Satuan Polisi Pamong Praja dan Satuan Perlindungan Masyarakat termasuk dalam Pelaksanaan Tugas yang Bernuansa Hak Asasi Manusia</t>
  </si>
  <si>
    <t>Sosialisasi Penegakan Peraturan Daerah dan Peraturan Kepala Daerah</t>
  </si>
  <si>
    <t>Pembinaan Aparatur Pemadam Kebakaran</t>
  </si>
  <si>
    <t>Pengadaan Sarana dan Prasarana Pencegahan, Penanggulangan Kebakaran dan Alat Pelindung Diri</t>
  </si>
  <si>
    <t>Penyediaan Jasa Pemeliharaan, Biaya Pemeliharaan, Pajak dan Perijinan Kendaraan Dinas Operasional atau Lapangan</t>
  </si>
  <si>
    <t>PEBRUARI</t>
  </si>
  <si>
    <t>Balige,      Maret 2025</t>
  </si>
  <si>
    <t>Balige,      Pebruari 2025</t>
  </si>
  <si>
    <t>KONTROL JUMLAH GU DAN LS PER BULAN TA. 2025</t>
  </si>
  <si>
    <t>MARET</t>
  </si>
  <si>
    <t>Balige,      April 2025</t>
  </si>
  <si>
    <t>APRIL</t>
  </si>
  <si>
    <t>Balige,      Mei 2025</t>
  </si>
  <si>
    <t>MEI</t>
  </si>
  <si>
    <t>Balige,      Juni 2025</t>
  </si>
  <si>
    <t>JUNI</t>
  </si>
  <si>
    <t>Balige,      Juli 2025</t>
  </si>
  <si>
    <t>Balige,         Agustus 2025</t>
  </si>
  <si>
    <t>JULI</t>
  </si>
  <si>
    <t>AGUSTUS</t>
  </si>
  <si>
    <t>Balige,         September 2025</t>
  </si>
  <si>
    <t>SEPTEMBER</t>
  </si>
  <si>
    <t>Balige,      Oktober 2025</t>
  </si>
  <si>
    <t>OKTOBER</t>
  </si>
  <si>
    <t>Balige,      Nopember 2025</t>
  </si>
  <si>
    <t>NOPEMBER</t>
  </si>
  <si>
    <t>Balige,  12  Nopember 2025</t>
  </si>
  <si>
    <t>DESEMBER</t>
  </si>
  <si>
    <t>Balige,       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</si>
</sst>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Rp&quot;* #,##0.00_-;\-&quot;Rp&quot;* #,##0.00_-;_-&quot;Rp&quot;* &quot;-&quot;??_-;_-@_-"/>
    <numFmt numFmtId="166" formatCode="_-* #,##0.00_-;\-* #,##0.00_-;_-* &quot;-&quot;??_-;_-@_-"/>
    <numFmt numFmtId="167" formatCode="_(* #,##0_);_(* \(#,##0\);_(* &quot;-&quot;??_);_(@_)"/>
    <numFmt numFmtId="168" formatCode="00"/>
    <numFmt numFmtId="169" formatCode="_-* #,##0.00_-;\-* #,##0.00_-;_-* &quot;-&quot;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sz val="5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9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53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53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FFB7DB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  <xf numFmtId="0" fontId="3" fillId="0" borderId="0"/>
    <xf numFmtId="0" fontId="4" fillId="0" borderId="0"/>
    <xf numFmtId="164" fontId="1" fillId="0" borderId="0" applyFont="0" applyFill="0" applyBorder="0" applyAlignment="0" applyProtection="0"/>
  </cellStyleXfs>
  <cellXfs count="372">
    <xf numFmtId="0" fontId="0" fillId="0" borderId="0" xfId="0"/>
    <xf numFmtId="0" fontId="5" fillId="0" borderId="0" xfId="0" applyFont="1" applyAlignment="1">
      <alignment vertical="top"/>
    </xf>
    <xf numFmtId="0" fontId="6" fillId="0" borderId="3" xfId="0" applyFont="1" applyBorder="1" applyAlignment="1">
      <alignment horizontal="center" vertical="top" wrapText="1"/>
    </xf>
    <xf numFmtId="164" fontId="6" fillId="0" borderId="3" xfId="5" applyFont="1" applyFill="1" applyBorder="1" applyAlignment="1">
      <alignment horizontal="center" vertical="top" wrapText="1"/>
    </xf>
    <xf numFmtId="164" fontId="6" fillId="0" borderId="1" xfId="5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15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left" vertical="top" wrapText="1"/>
    </xf>
    <xf numFmtId="37" fontId="6" fillId="0" borderId="1" xfId="1" applyNumberFormat="1" applyFont="1" applyFill="1" applyBorder="1" applyAlignment="1">
      <alignment horizontal="center" vertical="top"/>
    </xf>
    <xf numFmtId="41" fontId="6" fillId="0" borderId="1" xfId="0" applyNumberFormat="1" applyFont="1" applyBorder="1" applyAlignment="1">
      <alignment vertical="top"/>
    </xf>
    <xf numFmtId="2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164" fontId="6" fillId="0" borderId="1" xfId="5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 shrinkToFit="1"/>
    </xf>
    <xf numFmtId="168" fontId="4" fillId="0" borderId="15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41" fontId="4" fillId="0" borderId="6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37" fontId="4" fillId="0" borderId="1" xfId="1" applyNumberFormat="1" applyFont="1" applyFill="1" applyBorder="1" applyAlignment="1">
      <alignment horizontal="center" vertical="top"/>
    </xf>
    <xf numFmtId="37" fontId="4" fillId="0" borderId="1" xfId="1" applyNumberFormat="1" applyFont="1" applyFill="1" applyBorder="1" applyAlignment="1">
      <alignment vertical="top" wrapText="1"/>
    </xf>
    <xf numFmtId="37" fontId="4" fillId="0" borderId="1" xfId="1" applyNumberFormat="1" applyFont="1" applyFill="1" applyBorder="1" applyAlignment="1">
      <alignment horizontal="right" vertical="top"/>
    </xf>
    <xf numFmtId="43" fontId="4" fillId="0" borderId="1" xfId="1" applyFont="1" applyFill="1" applyBorder="1" applyAlignment="1">
      <alignment horizontal="center" vertical="top"/>
    </xf>
    <xf numFmtId="39" fontId="4" fillId="0" borderId="1" xfId="1" applyNumberFormat="1" applyFont="1" applyFill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164" fontId="4" fillId="0" borderId="1" xfId="5" applyFont="1" applyFill="1" applyBorder="1" applyAlignment="1">
      <alignment vertical="top"/>
    </xf>
    <xf numFmtId="164" fontId="6" fillId="0" borderId="1" xfId="5" applyFont="1" applyFill="1" applyBorder="1" applyAlignment="1">
      <alignment vertical="top"/>
    </xf>
    <xf numFmtId="37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5" xfId="0" applyFont="1" applyBorder="1" applyAlignment="1">
      <alignment horizontal="left" vertical="top" wrapText="1"/>
    </xf>
    <xf numFmtId="37" fontId="4" fillId="0" borderId="1" xfId="1" applyNumberFormat="1" applyFont="1" applyFill="1" applyBorder="1" applyAlignment="1">
      <alignment vertical="top"/>
    </xf>
    <xf numFmtId="164" fontId="4" fillId="0" borderId="1" xfId="5" applyFont="1" applyFill="1" applyBorder="1" applyAlignment="1">
      <alignment vertical="top" wrapText="1"/>
    </xf>
    <xf numFmtId="166" fontId="4" fillId="0" borderId="6" xfId="0" applyNumberFormat="1" applyFont="1" applyBorder="1" applyAlignment="1">
      <alignment vertical="top"/>
    </xf>
    <xf numFmtId="164" fontId="5" fillId="0" borderId="0" xfId="5" applyFont="1" applyAlignment="1">
      <alignment vertical="top"/>
    </xf>
    <xf numFmtId="168" fontId="4" fillId="0" borderId="14" xfId="0" applyNumberFormat="1" applyFont="1" applyBorder="1" applyAlignment="1">
      <alignment horizontal="center" vertical="top" shrinkToFit="1"/>
    </xf>
    <xf numFmtId="0" fontId="4" fillId="0" borderId="14" xfId="0" applyFont="1" applyBorder="1" applyAlignment="1">
      <alignment horizontal="left" vertical="top" wrapText="1"/>
    </xf>
    <xf numFmtId="41" fontId="4" fillId="0" borderId="1" xfId="0" applyNumberFormat="1" applyFont="1" applyBorder="1" applyAlignment="1">
      <alignment vertical="top"/>
    </xf>
    <xf numFmtId="37" fontId="6" fillId="0" borderId="1" xfId="1" applyNumberFormat="1" applyFont="1" applyFill="1" applyBorder="1" applyAlignment="1">
      <alignment vertical="top" wrapText="1"/>
    </xf>
    <xf numFmtId="37" fontId="6" fillId="0" borderId="1" xfId="1" applyNumberFormat="1" applyFont="1" applyFill="1" applyBorder="1" applyAlignment="1">
      <alignment horizontal="right" vertical="top"/>
    </xf>
    <xf numFmtId="43" fontId="6" fillId="0" borderId="1" xfId="1" applyFont="1" applyFill="1" applyBorder="1" applyAlignment="1">
      <alignment horizontal="center" vertical="top"/>
    </xf>
    <xf numFmtId="37" fontId="6" fillId="0" borderId="1" xfId="1" applyNumberFormat="1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41" fontId="4" fillId="0" borderId="1" xfId="0" applyNumberFormat="1" applyFont="1" applyBorder="1" applyAlignment="1">
      <alignment horizontal="right" vertical="top"/>
    </xf>
    <xf numFmtId="0" fontId="4" fillId="0" borderId="19" xfId="0" applyFont="1" applyBorder="1" applyAlignment="1">
      <alignment horizontal="left" vertical="top" wrapText="1"/>
    </xf>
    <xf numFmtId="164" fontId="4" fillId="0" borderId="1" xfId="5" applyFont="1" applyFill="1" applyBorder="1" applyAlignment="1">
      <alignment horizontal="right" vertical="top" wrapText="1"/>
    </xf>
    <xf numFmtId="168" fontId="4" fillId="0" borderId="17" xfId="0" applyNumberFormat="1" applyFont="1" applyBorder="1" applyAlignment="1">
      <alignment horizontal="center" vertical="top" shrinkToFit="1"/>
    </xf>
    <xf numFmtId="0" fontId="4" fillId="0" borderId="18" xfId="0" applyFont="1" applyBorder="1" applyAlignment="1">
      <alignment horizontal="center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37" fontId="6" fillId="0" borderId="4" xfId="1" applyNumberFormat="1" applyFont="1" applyFill="1" applyBorder="1" applyAlignment="1">
      <alignment horizontal="center" vertical="top"/>
    </xf>
    <xf numFmtId="41" fontId="4" fillId="0" borderId="4" xfId="0" applyNumberFormat="1" applyFont="1" applyBorder="1" applyAlignment="1">
      <alignment vertical="top"/>
    </xf>
    <xf numFmtId="0" fontId="4" fillId="2" borderId="15" xfId="0" applyFont="1" applyFill="1" applyBorder="1" applyAlignment="1">
      <alignment horizontal="center" vertical="top" wrapText="1"/>
    </xf>
    <xf numFmtId="168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vertical="top"/>
    </xf>
    <xf numFmtId="164" fontId="4" fillId="0" borderId="1" xfId="5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167" fontId="4" fillId="0" borderId="1" xfId="1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164" fontId="4" fillId="0" borderId="13" xfId="5" applyFont="1" applyFill="1" applyBorder="1" applyAlignment="1">
      <alignment horizontal="center" vertical="top" wrapText="1"/>
    </xf>
    <xf numFmtId="37" fontId="8" fillId="0" borderId="0" xfId="0" applyNumberFormat="1" applyFont="1" applyAlignment="1">
      <alignment vertical="top"/>
    </xf>
    <xf numFmtId="0" fontId="9" fillId="0" borderId="0" xfId="0" applyFont="1" applyAlignment="1">
      <alignment horizontal="center" vertical="top"/>
    </xf>
    <xf numFmtId="2" fontId="8" fillId="0" borderId="0" xfId="0" applyNumberFormat="1" applyFont="1" applyAlignment="1">
      <alignment vertical="top"/>
    </xf>
    <xf numFmtId="164" fontId="8" fillId="0" borderId="0" xfId="5" applyFont="1" applyFill="1" applyAlignment="1">
      <alignment vertical="top"/>
    </xf>
    <xf numFmtId="164" fontId="4" fillId="0" borderId="0" xfId="5" applyFont="1" applyFill="1" applyAlignment="1">
      <alignment vertical="top"/>
    </xf>
    <xf numFmtId="169" fontId="8" fillId="0" borderId="0" xfId="5" applyNumberFormat="1" applyFont="1" applyFill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164" fontId="12" fillId="0" borderId="0" xfId="5" applyFont="1" applyFill="1" applyAlignment="1">
      <alignment horizontal="center" vertical="top"/>
    </xf>
    <xf numFmtId="0" fontId="13" fillId="0" borderId="0" xfId="0" applyFont="1" applyAlignment="1">
      <alignment vertical="top"/>
    </xf>
    <xf numFmtId="164" fontId="13" fillId="0" borderId="0" xfId="5" applyFont="1" applyFill="1" applyAlignment="1">
      <alignment vertical="top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5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64" fontId="16" fillId="0" borderId="4" xfId="5" applyFont="1" applyFill="1" applyBorder="1" applyAlignment="1">
      <alignment horizontal="center" vertical="center"/>
    </xf>
    <xf numFmtId="164" fontId="6" fillId="0" borderId="4" xfId="5" applyFont="1" applyFill="1" applyBorder="1" applyAlignment="1">
      <alignment horizontal="center" vertical="center" wrapText="1"/>
    </xf>
    <xf numFmtId="43" fontId="13" fillId="0" borderId="0" xfId="1" applyFont="1" applyFill="1" applyAlignment="1">
      <alignment vertical="top"/>
    </xf>
    <xf numFmtId="2" fontId="13" fillId="0" borderId="0" xfId="0" applyNumberFormat="1" applyFont="1" applyAlignment="1">
      <alignment vertical="top"/>
    </xf>
    <xf numFmtId="164" fontId="13" fillId="0" borderId="0" xfId="5" applyFont="1" applyFill="1" applyAlignment="1">
      <alignment horizontal="center" vertical="top"/>
    </xf>
    <xf numFmtId="43" fontId="13" fillId="0" borderId="0" xfId="0" applyNumberFormat="1" applyFont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164" fontId="6" fillId="4" borderId="1" xfId="5" applyFont="1" applyFill="1" applyBorder="1" applyAlignment="1">
      <alignment vertical="top"/>
    </xf>
    <xf numFmtId="0" fontId="18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164" fontId="19" fillId="0" borderId="12" xfId="5" applyFont="1" applyBorder="1" applyAlignment="1">
      <alignment horizontal="center" vertical="center"/>
    </xf>
    <xf numFmtId="164" fontId="20" fillId="0" borderId="3" xfId="5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4" fontId="18" fillId="2" borderId="1" xfId="5" applyFont="1" applyFill="1" applyBorder="1" applyAlignment="1">
      <alignment vertical="center"/>
    </xf>
    <xf numFmtId="164" fontId="18" fillId="2" borderId="0" xfId="5" applyFont="1" applyFill="1" applyAlignment="1">
      <alignment vertical="center"/>
    </xf>
    <xf numFmtId="164" fontId="18" fillId="0" borderId="1" xfId="5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64" fontId="18" fillId="0" borderId="0" xfId="0" applyNumberFormat="1" applyFont="1" applyAlignment="1">
      <alignment vertical="center"/>
    </xf>
    <xf numFmtId="164" fontId="5" fillId="2" borderId="1" xfId="5" applyFont="1" applyFill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164" fontId="18" fillId="2" borderId="6" xfId="5" applyFont="1" applyFill="1" applyBorder="1" applyAlignment="1">
      <alignment vertical="center"/>
    </xf>
    <xf numFmtId="164" fontId="18" fillId="0" borderId="6" xfId="0" applyNumberFormat="1" applyFont="1" applyBorder="1" applyAlignment="1">
      <alignment vertical="center"/>
    </xf>
    <xf numFmtId="164" fontId="18" fillId="2" borderId="3" xfId="5" applyFont="1" applyFill="1" applyBorder="1" applyAlignment="1">
      <alignment vertical="center"/>
    </xf>
    <xf numFmtId="164" fontId="18" fillId="0" borderId="8" xfId="0" applyNumberFormat="1" applyFont="1" applyBorder="1" applyAlignment="1">
      <alignment vertical="center"/>
    </xf>
    <xf numFmtId="164" fontId="18" fillId="0" borderId="3" xfId="0" applyNumberFormat="1" applyFont="1" applyBorder="1" applyAlignment="1">
      <alignment vertical="center"/>
    </xf>
    <xf numFmtId="164" fontId="18" fillId="0" borderId="3" xfId="5" applyFont="1" applyBorder="1" applyAlignment="1">
      <alignment vertical="center"/>
    </xf>
    <xf numFmtId="0" fontId="21" fillId="0" borderId="0" xfId="0" applyFont="1" applyAlignment="1">
      <alignment vertical="center"/>
    </xf>
    <xf numFmtId="164" fontId="18" fillId="0" borderId="0" xfId="5" applyFont="1" applyAlignment="1">
      <alignment vertical="center"/>
    </xf>
    <xf numFmtId="164" fontId="24" fillId="0" borderId="0" xfId="5" applyFont="1" applyAlignment="1">
      <alignment vertical="center"/>
    </xf>
    <xf numFmtId="164" fontId="22" fillId="0" borderId="0" xfId="5" applyFont="1" applyAlignment="1">
      <alignment vertical="center"/>
    </xf>
    <xf numFmtId="3" fontId="25" fillId="0" borderId="0" xfId="0" applyNumberFormat="1" applyFont="1"/>
    <xf numFmtId="0" fontId="24" fillId="0" borderId="0" xfId="0" applyFont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37" fontId="7" fillId="3" borderId="1" xfId="1" applyNumberFormat="1" applyFont="1" applyFill="1" applyBorder="1" applyAlignment="1">
      <alignment vertical="center"/>
    </xf>
    <xf numFmtId="164" fontId="6" fillId="3" borderId="4" xfId="5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vertical="center"/>
    </xf>
    <xf numFmtId="2" fontId="6" fillId="3" borderId="1" xfId="1" applyNumberFormat="1" applyFont="1" applyFill="1" applyBorder="1" applyAlignment="1">
      <alignment vertical="center"/>
    </xf>
    <xf numFmtId="164" fontId="6" fillId="3" borderId="1" xfId="5" applyFont="1" applyFill="1" applyBorder="1" applyAlignment="1">
      <alignment vertical="center"/>
    </xf>
    <xf numFmtId="39" fontId="6" fillId="3" borderId="3" xfId="1" applyNumberFormat="1" applyFont="1" applyFill="1" applyBorder="1" applyAlignment="1">
      <alignment vertical="center"/>
    </xf>
    <xf numFmtId="167" fontId="6" fillId="3" borderId="1" xfId="1" applyNumberFormat="1" applyFont="1" applyFill="1" applyBorder="1" applyAlignment="1">
      <alignment vertical="center"/>
    </xf>
    <xf numFmtId="1" fontId="6" fillId="4" borderId="15" xfId="0" applyNumberFormat="1" applyFont="1" applyFill="1" applyBorder="1" applyAlignment="1">
      <alignment horizontal="center" vertical="top" shrinkToFit="1"/>
    </xf>
    <xf numFmtId="49" fontId="6" fillId="4" borderId="15" xfId="0" applyNumberFormat="1" applyFont="1" applyFill="1" applyBorder="1" applyAlignment="1">
      <alignment horizontal="center" vertical="top" shrinkToFit="1"/>
    </xf>
    <xf numFmtId="0" fontId="4" fillId="4" borderId="15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left" vertical="top" wrapText="1"/>
    </xf>
    <xf numFmtId="37" fontId="6" fillId="4" borderId="1" xfId="1" applyNumberFormat="1" applyFont="1" applyFill="1" applyBorder="1" applyAlignment="1">
      <alignment horizontal="center" vertical="top"/>
    </xf>
    <xf numFmtId="41" fontId="6" fillId="4" borderId="3" xfId="0" applyNumberFormat="1" applyFont="1" applyFill="1" applyBorder="1" applyAlignment="1">
      <alignment vertical="top"/>
    </xf>
    <xf numFmtId="164" fontId="6" fillId="4" borderId="1" xfId="5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vertical="top"/>
    </xf>
    <xf numFmtId="2" fontId="6" fillId="4" borderId="1" xfId="0" applyNumberFormat="1" applyFont="1" applyFill="1" applyBorder="1" applyAlignment="1">
      <alignment horizontal="right" vertical="top"/>
    </xf>
    <xf numFmtId="2" fontId="6" fillId="4" borderId="1" xfId="0" applyNumberFormat="1" applyFont="1" applyFill="1" applyBorder="1" applyAlignment="1">
      <alignment horizontal="right" vertical="top" wrapText="1"/>
    </xf>
    <xf numFmtId="39" fontId="6" fillId="4" borderId="1" xfId="1" applyNumberFormat="1" applyFont="1" applyFill="1" applyBorder="1" applyAlignment="1">
      <alignment vertical="top"/>
    </xf>
    <xf numFmtId="37" fontId="6" fillId="4" borderId="1" xfId="0" applyNumberFormat="1" applyFont="1" applyFill="1" applyBorder="1" applyAlignment="1">
      <alignment vertical="top"/>
    </xf>
    <xf numFmtId="1" fontId="6" fillId="5" borderId="15" xfId="0" applyNumberFormat="1" applyFont="1" applyFill="1" applyBorder="1" applyAlignment="1">
      <alignment horizontal="center" vertical="top" shrinkToFit="1"/>
    </xf>
    <xf numFmtId="49" fontId="6" fillId="5" borderId="15" xfId="0" applyNumberFormat="1" applyFont="1" applyFill="1" applyBorder="1" applyAlignment="1">
      <alignment horizontal="center" vertical="top" shrinkToFit="1"/>
    </xf>
    <xf numFmtId="168" fontId="6" fillId="5" borderId="15" xfId="0" applyNumberFormat="1" applyFont="1" applyFill="1" applyBorder="1" applyAlignment="1">
      <alignment horizontal="center" vertical="top" shrinkToFit="1"/>
    </xf>
    <xf numFmtId="0" fontId="6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left" vertical="top" wrapText="1"/>
    </xf>
    <xf numFmtId="37" fontId="6" fillId="5" borderId="1" xfId="1" applyNumberFormat="1" applyFont="1" applyFill="1" applyBorder="1" applyAlignment="1">
      <alignment horizontal="center" vertical="top"/>
    </xf>
    <xf numFmtId="41" fontId="6" fillId="5" borderId="1" xfId="0" applyNumberFormat="1" applyFont="1" applyFill="1" applyBorder="1" applyAlignment="1">
      <alignment vertical="top"/>
    </xf>
    <xf numFmtId="164" fontId="6" fillId="5" borderId="1" xfId="5" applyFont="1" applyFill="1" applyBorder="1" applyAlignment="1">
      <alignment horizontal="center" vertical="top" wrapText="1"/>
    </xf>
    <xf numFmtId="37" fontId="6" fillId="5" borderId="1" xfId="1" applyNumberFormat="1" applyFont="1" applyFill="1" applyBorder="1" applyAlignment="1">
      <alignment vertical="top"/>
    </xf>
    <xf numFmtId="43" fontId="6" fillId="5" borderId="1" xfId="1" applyFont="1" applyFill="1" applyBorder="1" applyAlignment="1">
      <alignment horizontal="center" vertical="top"/>
    </xf>
    <xf numFmtId="2" fontId="6" fillId="5" borderId="1" xfId="0" applyNumberFormat="1" applyFont="1" applyFill="1" applyBorder="1" applyAlignment="1">
      <alignment vertical="top"/>
    </xf>
    <xf numFmtId="39" fontId="6" fillId="5" borderId="1" xfId="1" applyNumberFormat="1" applyFont="1" applyFill="1" applyBorder="1" applyAlignment="1">
      <alignment vertical="top"/>
    </xf>
    <xf numFmtId="164" fontId="6" fillId="5" borderId="1" xfId="5" applyFont="1" applyFill="1" applyBorder="1" applyAlignment="1">
      <alignment vertical="top" wrapText="1"/>
    </xf>
    <xf numFmtId="164" fontId="6" fillId="5" borderId="1" xfId="5" applyFont="1" applyFill="1" applyBorder="1" applyAlignment="1">
      <alignment vertical="top"/>
    </xf>
    <xf numFmtId="37" fontId="6" fillId="5" borderId="1" xfId="0" applyNumberFormat="1" applyFont="1" applyFill="1" applyBorder="1" applyAlignment="1">
      <alignment vertical="top"/>
    </xf>
    <xf numFmtId="0" fontId="6" fillId="5" borderId="1" xfId="0" applyFont="1" applyFill="1" applyBorder="1" applyAlignment="1">
      <alignment vertical="top"/>
    </xf>
    <xf numFmtId="1" fontId="6" fillId="6" borderId="15" xfId="0" applyNumberFormat="1" applyFont="1" applyFill="1" applyBorder="1" applyAlignment="1">
      <alignment horizontal="center" vertical="top" shrinkToFit="1"/>
    </xf>
    <xf numFmtId="49" fontId="6" fillId="6" borderId="15" xfId="0" applyNumberFormat="1" applyFont="1" applyFill="1" applyBorder="1" applyAlignment="1">
      <alignment horizontal="center" vertical="top" shrinkToFit="1"/>
    </xf>
    <xf numFmtId="168" fontId="6" fillId="6" borderId="15" xfId="0" applyNumberFormat="1" applyFont="1" applyFill="1" applyBorder="1" applyAlignment="1">
      <alignment horizontal="center" vertical="top" shrinkToFit="1"/>
    </xf>
    <xf numFmtId="0" fontId="6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left" vertical="top" wrapText="1"/>
    </xf>
    <xf numFmtId="37" fontId="6" fillId="6" borderId="1" xfId="1" applyNumberFormat="1" applyFont="1" applyFill="1" applyBorder="1" applyAlignment="1">
      <alignment horizontal="center" vertical="top"/>
    </xf>
    <xf numFmtId="41" fontId="6" fillId="6" borderId="1" xfId="0" applyNumberFormat="1" applyFont="1" applyFill="1" applyBorder="1" applyAlignment="1">
      <alignment vertical="top"/>
    </xf>
    <xf numFmtId="164" fontId="6" fillId="6" borderId="1" xfId="5" applyFont="1" applyFill="1" applyBorder="1" applyAlignment="1">
      <alignment horizontal="center" vertical="top" wrapText="1"/>
    </xf>
    <xf numFmtId="37" fontId="6" fillId="6" borderId="1" xfId="1" applyNumberFormat="1" applyFont="1" applyFill="1" applyBorder="1" applyAlignment="1">
      <alignment vertical="top" wrapText="1"/>
    </xf>
    <xf numFmtId="37" fontId="6" fillId="6" borderId="1" xfId="1" applyNumberFormat="1" applyFont="1" applyFill="1" applyBorder="1" applyAlignment="1">
      <alignment horizontal="right" vertical="top"/>
    </xf>
    <xf numFmtId="43" fontId="6" fillId="6" borderId="1" xfId="1" applyFont="1" applyFill="1" applyBorder="1" applyAlignment="1">
      <alignment horizontal="center" vertical="top"/>
    </xf>
    <xf numFmtId="39" fontId="6" fillId="6" borderId="1" xfId="1" applyNumberFormat="1" applyFont="1" applyFill="1" applyBorder="1" applyAlignment="1">
      <alignment vertical="top"/>
    </xf>
    <xf numFmtId="2" fontId="6" fillId="6" borderId="1" xfId="0" applyNumberFormat="1" applyFont="1" applyFill="1" applyBorder="1" applyAlignment="1">
      <alignment vertical="top"/>
    </xf>
    <xf numFmtId="164" fontId="6" fillId="6" borderId="1" xfId="5" applyFont="1" applyFill="1" applyBorder="1" applyAlignment="1">
      <alignment vertical="top" wrapText="1"/>
    </xf>
    <xf numFmtId="37" fontId="6" fillId="6" borderId="1" xfId="0" applyNumberFormat="1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166" fontId="6" fillId="6" borderId="6" xfId="0" applyNumberFormat="1" applyFont="1" applyFill="1" applyBorder="1" applyAlignment="1">
      <alignment vertical="top"/>
    </xf>
    <xf numFmtId="37" fontId="6" fillId="6" borderId="1" xfId="1" applyNumberFormat="1" applyFont="1" applyFill="1" applyBorder="1" applyAlignment="1">
      <alignment vertical="top"/>
    </xf>
    <xf numFmtId="164" fontId="6" fillId="6" borderId="1" xfId="5" applyFont="1" applyFill="1" applyBorder="1" applyAlignment="1">
      <alignment vertical="top"/>
    </xf>
    <xf numFmtId="168" fontId="6" fillId="6" borderId="14" xfId="0" applyNumberFormat="1" applyFont="1" applyFill="1" applyBorder="1" applyAlignment="1">
      <alignment horizontal="center" vertical="top" shrinkToFit="1"/>
    </xf>
    <xf numFmtId="1" fontId="6" fillId="7" borderId="15" xfId="0" applyNumberFormat="1" applyFont="1" applyFill="1" applyBorder="1" applyAlignment="1">
      <alignment horizontal="center" vertical="top" shrinkToFit="1"/>
    </xf>
    <xf numFmtId="49" fontId="6" fillId="7" borderId="15" xfId="0" applyNumberFormat="1" applyFont="1" applyFill="1" applyBorder="1" applyAlignment="1">
      <alignment horizontal="center" vertical="top" shrinkToFit="1"/>
    </xf>
    <xf numFmtId="168" fontId="6" fillId="7" borderId="14" xfId="0" applyNumberFormat="1" applyFont="1" applyFill="1" applyBorder="1" applyAlignment="1">
      <alignment horizontal="center" vertical="top" shrinkToFit="1"/>
    </xf>
    <xf numFmtId="0" fontId="6" fillId="7" borderId="15" xfId="0" applyFont="1" applyFill="1" applyBorder="1" applyAlignment="1">
      <alignment horizontal="center" vertical="top" wrapText="1"/>
    </xf>
    <xf numFmtId="0" fontId="6" fillId="7" borderId="14" xfId="0" applyFont="1" applyFill="1" applyBorder="1" applyAlignment="1">
      <alignment horizontal="left" vertical="top" wrapText="1"/>
    </xf>
    <xf numFmtId="37" fontId="6" fillId="7" borderId="1" xfId="1" applyNumberFormat="1" applyFont="1" applyFill="1" applyBorder="1" applyAlignment="1">
      <alignment horizontal="center" vertical="top"/>
    </xf>
    <xf numFmtId="164" fontId="6" fillId="7" borderId="1" xfId="5" applyFont="1" applyFill="1" applyBorder="1" applyAlignment="1">
      <alignment horizontal="center" vertical="top" wrapText="1"/>
    </xf>
    <xf numFmtId="37" fontId="6" fillId="7" borderId="1" xfId="1" applyNumberFormat="1" applyFont="1" applyFill="1" applyBorder="1" applyAlignment="1">
      <alignment vertical="top" wrapText="1"/>
    </xf>
    <xf numFmtId="37" fontId="6" fillId="7" borderId="1" xfId="1" applyNumberFormat="1" applyFont="1" applyFill="1" applyBorder="1" applyAlignment="1">
      <alignment horizontal="right" vertical="top"/>
    </xf>
    <xf numFmtId="43" fontId="6" fillId="7" borderId="1" xfId="1" applyFont="1" applyFill="1" applyBorder="1" applyAlignment="1">
      <alignment horizontal="center" vertical="top"/>
    </xf>
    <xf numFmtId="37" fontId="6" fillId="7" borderId="1" xfId="1" applyNumberFormat="1" applyFont="1" applyFill="1" applyBorder="1" applyAlignment="1">
      <alignment vertical="top"/>
    </xf>
    <xf numFmtId="2" fontId="6" fillId="7" borderId="1" xfId="0" applyNumberFormat="1" applyFont="1" applyFill="1" applyBorder="1" applyAlignment="1">
      <alignment vertical="top"/>
    </xf>
    <xf numFmtId="39" fontId="6" fillId="7" borderId="1" xfId="1" applyNumberFormat="1" applyFont="1" applyFill="1" applyBorder="1" applyAlignment="1">
      <alignment vertical="top"/>
    </xf>
    <xf numFmtId="164" fontId="6" fillId="7" borderId="1" xfId="5" applyFont="1" applyFill="1" applyBorder="1" applyAlignment="1">
      <alignment vertical="top" wrapText="1"/>
    </xf>
    <xf numFmtId="164" fontId="6" fillId="7" borderId="1" xfId="5" applyFont="1" applyFill="1" applyBorder="1" applyAlignment="1">
      <alignment vertical="top"/>
    </xf>
    <xf numFmtId="37" fontId="6" fillId="7" borderId="1" xfId="0" applyNumberFormat="1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168" fontId="6" fillId="7" borderId="15" xfId="0" applyNumberFormat="1" applyFont="1" applyFill="1" applyBorder="1" applyAlignment="1">
      <alignment horizontal="center" vertical="top" shrinkToFit="1"/>
    </xf>
    <xf numFmtId="0" fontId="4" fillId="7" borderId="15" xfId="0" applyFont="1" applyFill="1" applyBorder="1" applyAlignment="1">
      <alignment horizontal="center" vertical="top" wrapText="1"/>
    </xf>
    <xf numFmtId="41" fontId="6" fillId="7" borderId="3" xfId="0" applyNumberFormat="1" applyFont="1" applyFill="1" applyBorder="1" applyAlignment="1">
      <alignment vertical="top"/>
    </xf>
    <xf numFmtId="0" fontId="6" fillId="7" borderId="1" xfId="0" applyFont="1" applyFill="1" applyBorder="1" applyAlignment="1">
      <alignment horizontal="center" vertical="top"/>
    </xf>
    <xf numFmtId="41" fontId="6" fillId="6" borderId="1" xfId="0" applyNumberFormat="1" applyFont="1" applyFill="1" applyBorder="1" applyAlignment="1">
      <alignment horizontal="right" vertical="top"/>
    </xf>
    <xf numFmtId="168" fontId="6" fillId="6" borderId="17" xfId="0" applyNumberFormat="1" applyFont="1" applyFill="1" applyBorder="1" applyAlignment="1">
      <alignment horizontal="center" vertical="top" shrinkToFit="1"/>
    </xf>
    <xf numFmtId="168" fontId="6" fillId="6" borderId="1" xfId="0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left" vertical="top" wrapText="1"/>
    </xf>
    <xf numFmtId="37" fontId="6" fillId="6" borderId="4" xfId="1" applyNumberFormat="1" applyFont="1" applyFill="1" applyBorder="1" applyAlignment="1">
      <alignment horizontal="center" vertical="top"/>
    </xf>
    <xf numFmtId="166" fontId="6" fillId="6" borderId="1" xfId="0" applyNumberFormat="1" applyFont="1" applyFill="1" applyBorder="1" applyAlignment="1">
      <alignment vertical="top"/>
    </xf>
    <xf numFmtId="168" fontId="6" fillId="7" borderId="21" xfId="0" applyNumberFormat="1" applyFont="1" applyFill="1" applyBorder="1" applyAlignment="1">
      <alignment horizontal="center" vertical="top" shrinkToFit="1"/>
    </xf>
    <xf numFmtId="0" fontId="6" fillId="7" borderId="20" xfId="0" applyFont="1" applyFill="1" applyBorder="1" applyAlignment="1">
      <alignment horizontal="center" vertical="top" wrapText="1"/>
    </xf>
    <xf numFmtId="0" fontId="6" fillId="7" borderId="16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6" borderId="1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shrinkToFit="1"/>
    </xf>
    <xf numFmtId="0" fontId="14" fillId="0" borderId="12" xfId="0" applyFont="1" applyBorder="1" applyAlignment="1">
      <alignment horizontal="center" vertical="top"/>
    </xf>
    <xf numFmtId="164" fontId="18" fillId="2" borderId="2" xfId="5" applyFont="1" applyFill="1" applyBorder="1" applyAlignment="1">
      <alignment vertical="center"/>
    </xf>
    <xf numFmtId="164" fontId="18" fillId="0" borderId="23" xfId="0" applyNumberFormat="1" applyFont="1" applyBorder="1" applyAlignment="1">
      <alignment vertical="center"/>
    </xf>
    <xf numFmtId="164" fontId="18" fillId="0" borderId="2" xfId="0" applyNumberFormat="1" applyFont="1" applyBorder="1" applyAlignment="1">
      <alignment vertical="center"/>
    </xf>
    <xf numFmtId="164" fontId="18" fillId="0" borderId="2" xfId="5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164" fontId="23" fillId="8" borderId="22" xfId="5" applyFont="1" applyFill="1" applyBorder="1" applyAlignment="1">
      <alignment vertical="center"/>
    </xf>
    <xf numFmtId="164" fontId="23" fillId="8" borderId="22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top"/>
    </xf>
    <xf numFmtId="37" fontId="6" fillId="0" borderId="24" xfId="1" applyNumberFormat="1" applyFont="1" applyFill="1" applyBorder="1" applyAlignment="1">
      <alignment horizontal="center" vertical="top"/>
    </xf>
    <xf numFmtId="41" fontId="4" fillId="0" borderId="24" xfId="0" applyNumberFormat="1" applyFont="1" applyBorder="1" applyAlignment="1">
      <alignment horizontal="right" vertical="top"/>
    </xf>
    <xf numFmtId="0" fontId="4" fillId="0" borderId="24" xfId="0" applyFont="1" applyBorder="1" applyAlignment="1">
      <alignment horizontal="center" vertical="top" wrapText="1"/>
    </xf>
    <xf numFmtId="37" fontId="4" fillId="0" borderId="24" xfId="1" applyNumberFormat="1" applyFont="1" applyFill="1" applyBorder="1" applyAlignment="1">
      <alignment horizontal="center" vertical="top"/>
    </xf>
    <xf numFmtId="37" fontId="4" fillId="0" borderId="24" xfId="1" applyNumberFormat="1" applyFont="1" applyFill="1" applyBorder="1" applyAlignment="1">
      <alignment vertical="top" wrapText="1"/>
    </xf>
    <xf numFmtId="37" fontId="6" fillId="0" borderId="24" xfId="1" applyNumberFormat="1" applyFont="1" applyFill="1" applyBorder="1" applyAlignment="1">
      <alignment horizontal="right" vertical="top"/>
    </xf>
    <xf numFmtId="43" fontId="6" fillId="0" borderId="24" xfId="1" applyFont="1" applyFill="1" applyBorder="1" applyAlignment="1">
      <alignment horizontal="center" vertical="top"/>
    </xf>
    <xf numFmtId="37" fontId="6" fillId="0" borderId="24" xfId="1" applyNumberFormat="1" applyFont="1" applyFill="1" applyBorder="1" applyAlignment="1">
      <alignment vertical="top"/>
    </xf>
    <xf numFmtId="2" fontId="4" fillId="0" borderId="24" xfId="0" applyNumberFormat="1" applyFont="1" applyBorder="1" applyAlignment="1">
      <alignment vertical="top"/>
    </xf>
    <xf numFmtId="39" fontId="4" fillId="0" borderId="24" xfId="1" applyNumberFormat="1" applyFont="1" applyFill="1" applyBorder="1" applyAlignment="1">
      <alignment vertical="top"/>
    </xf>
    <xf numFmtId="164" fontId="4" fillId="0" borderId="24" xfId="5" applyFont="1" applyFill="1" applyBorder="1" applyAlignment="1">
      <alignment horizontal="right" vertical="top" wrapText="1"/>
    </xf>
    <xf numFmtId="164" fontId="4" fillId="0" borderId="24" xfId="5" applyFont="1" applyFill="1" applyBorder="1" applyAlignment="1">
      <alignment vertical="top"/>
    </xf>
    <xf numFmtId="37" fontId="4" fillId="0" borderId="24" xfId="0" applyNumberFormat="1" applyFont="1" applyBorder="1" applyAlignment="1">
      <alignment vertical="top"/>
    </xf>
    <xf numFmtId="0" fontId="6" fillId="0" borderId="24" xfId="0" applyFont="1" applyBorder="1" applyAlignment="1">
      <alignment vertical="top"/>
    </xf>
    <xf numFmtId="37" fontId="6" fillId="7" borderId="25" xfId="1" applyNumberFormat="1" applyFont="1" applyFill="1" applyBorder="1" applyAlignment="1">
      <alignment horizontal="center" vertical="top"/>
    </xf>
    <xf numFmtId="166" fontId="6" fillId="7" borderId="25" xfId="0" applyNumberFormat="1" applyFont="1" applyFill="1" applyBorder="1" applyAlignment="1">
      <alignment horizontal="right" vertical="top"/>
    </xf>
    <xf numFmtId="164" fontId="6" fillId="7" borderId="25" xfId="5" applyFont="1" applyFill="1" applyBorder="1" applyAlignment="1">
      <alignment horizontal="center" vertical="top" wrapText="1"/>
    </xf>
    <xf numFmtId="37" fontId="6" fillId="7" borderId="25" xfId="1" applyNumberFormat="1" applyFont="1" applyFill="1" applyBorder="1" applyAlignment="1">
      <alignment vertical="top" wrapText="1"/>
    </xf>
    <xf numFmtId="37" fontId="6" fillId="7" borderId="25" xfId="1" applyNumberFormat="1" applyFont="1" applyFill="1" applyBorder="1" applyAlignment="1">
      <alignment horizontal="right" vertical="top"/>
    </xf>
    <xf numFmtId="43" fontId="6" fillId="7" borderId="25" xfId="1" applyFont="1" applyFill="1" applyBorder="1" applyAlignment="1">
      <alignment horizontal="center" vertical="top"/>
    </xf>
    <xf numFmtId="37" fontId="6" fillId="7" borderId="25" xfId="1" applyNumberFormat="1" applyFont="1" applyFill="1" applyBorder="1" applyAlignment="1">
      <alignment vertical="top"/>
    </xf>
    <xf numFmtId="2" fontId="6" fillId="7" borderId="25" xfId="0" applyNumberFormat="1" applyFont="1" applyFill="1" applyBorder="1" applyAlignment="1">
      <alignment vertical="top"/>
    </xf>
    <xf numFmtId="39" fontId="6" fillId="7" borderId="25" xfId="1" applyNumberFormat="1" applyFont="1" applyFill="1" applyBorder="1" applyAlignment="1">
      <alignment vertical="top"/>
    </xf>
    <xf numFmtId="164" fontId="6" fillId="7" borderId="25" xfId="5" applyFont="1" applyFill="1" applyBorder="1" applyAlignment="1">
      <alignment vertical="top" wrapText="1"/>
    </xf>
    <xf numFmtId="164" fontId="6" fillId="7" borderId="25" xfId="5" applyFont="1" applyFill="1" applyBorder="1" applyAlignment="1">
      <alignment vertical="top"/>
    </xf>
    <xf numFmtId="37" fontId="6" fillId="7" borderId="25" xfId="0" applyNumberFormat="1" applyFont="1" applyFill="1" applyBorder="1" applyAlignment="1">
      <alignment vertical="top"/>
    </xf>
    <xf numFmtId="0" fontId="6" fillId="7" borderId="25" xfId="0" applyFont="1" applyFill="1" applyBorder="1" applyAlignment="1">
      <alignment vertical="top"/>
    </xf>
    <xf numFmtId="37" fontId="6" fillId="7" borderId="26" xfId="1" applyNumberFormat="1" applyFont="1" applyFill="1" applyBorder="1" applyAlignment="1">
      <alignment horizontal="center" vertical="top"/>
    </xf>
    <xf numFmtId="166" fontId="6" fillId="7" borderId="26" xfId="0" applyNumberFormat="1" applyFont="1" applyFill="1" applyBorder="1" applyAlignment="1">
      <alignment horizontal="right" vertical="top"/>
    </xf>
    <xf numFmtId="164" fontId="6" fillId="7" borderId="26" xfId="5" applyFont="1" applyFill="1" applyBorder="1" applyAlignment="1">
      <alignment horizontal="center" vertical="top" wrapText="1"/>
    </xf>
    <xf numFmtId="37" fontId="6" fillId="7" borderId="26" xfId="1" applyNumberFormat="1" applyFont="1" applyFill="1" applyBorder="1" applyAlignment="1">
      <alignment vertical="top" wrapText="1"/>
    </xf>
    <xf numFmtId="37" fontId="6" fillId="7" borderId="26" xfId="1" applyNumberFormat="1" applyFont="1" applyFill="1" applyBorder="1" applyAlignment="1">
      <alignment horizontal="right" vertical="top"/>
    </xf>
    <xf numFmtId="43" fontId="6" fillId="7" borderId="26" xfId="1" applyFont="1" applyFill="1" applyBorder="1" applyAlignment="1">
      <alignment horizontal="center" vertical="top"/>
    </xf>
    <xf numFmtId="37" fontId="6" fillId="7" borderId="26" xfId="1" applyNumberFormat="1" applyFont="1" applyFill="1" applyBorder="1" applyAlignment="1">
      <alignment vertical="top"/>
    </xf>
    <xf numFmtId="2" fontId="6" fillId="7" borderId="26" xfId="0" applyNumberFormat="1" applyFont="1" applyFill="1" applyBorder="1" applyAlignment="1">
      <alignment vertical="top"/>
    </xf>
    <xf numFmtId="39" fontId="6" fillId="7" borderId="26" xfId="1" applyNumberFormat="1" applyFont="1" applyFill="1" applyBorder="1" applyAlignment="1">
      <alignment vertical="top"/>
    </xf>
    <xf numFmtId="164" fontId="6" fillId="7" borderId="26" xfId="5" applyFont="1" applyFill="1" applyBorder="1" applyAlignment="1">
      <alignment vertical="top" wrapText="1"/>
    </xf>
    <xf numFmtId="164" fontId="6" fillId="7" borderId="26" xfId="5" applyFont="1" applyFill="1" applyBorder="1" applyAlignment="1">
      <alignment vertical="top"/>
    </xf>
    <xf numFmtId="37" fontId="6" fillId="7" borderId="26" xfId="0" applyNumberFormat="1" applyFont="1" applyFill="1" applyBorder="1" applyAlignment="1">
      <alignment vertical="top"/>
    </xf>
    <xf numFmtId="0" fontId="6" fillId="7" borderId="26" xfId="0" applyFont="1" applyFill="1" applyBorder="1" applyAlignment="1">
      <alignment vertical="top"/>
    </xf>
    <xf numFmtId="37" fontId="6" fillId="6" borderId="25" xfId="1" applyNumberFormat="1" applyFont="1" applyFill="1" applyBorder="1" applyAlignment="1">
      <alignment horizontal="center" vertical="top"/>
    </xf>
    <xf numFmtId="41" fontId="6" fillId="6" borderId="25" xfId="0" applyNumberFormat="1" applyFont="1" applyFill="1" applyBorder="1" applyAlignment="1">
      <alignment horizontal="right" vertical="top"/>
    </xf>
    <xf numFmtId="164" fontId="6" fillId="6" borderId="25" xfId="5" applyFont="1" applyFill="1" applyBorder="1" applyAlignment="1">
      <alignment horizontal="center" vertical="top" wrapText="1"/>
    </xf>
    <xf numFmtId="37" fontId="6" fillId="6" borderId="25" xfId="1" applyNumberFormat="1" applyFont="1" applyFill="1" applyBorder="1" applyAlignment="1">
      <alignment vertical="top"/>
    </xf>
    <xf numFmtId="37" fontId="6" fillId="6" borderId="25" xfId="1" applyNumberFormat="1" applyFont="1" applyFill="1" applyBorder="1" applyAlignment="1">
      <alignment horizontal="right" vertical="top"/>
    </xf>
    <xf numFmtId="43" fontId="6" fillId="6" borderId="25" xfId="1" applyFont="1" applyFill="1" applyBorder="1" applyAlignment="1">
      <alignment horizontal="center" vertical="top"/>
    </xf>
    <xf numFmtId="2" fontId="6" fillId="6" borderId="25" xfId="0" applyNumberFormat="1" applyFont="1" applyFill="1" applyBorder="1" applyAlignment="1">
      <alignment vertical="top"/>
    </xf>
    <xf numFmtId="39" fontId="6" fillId="6" borderId="25" xfId="1" applyNumberFormat="1" applyFont="1" applyFill="1" applyBorder="1" applyAlignment="1">
      <alignment vertical="top"/>
    </xf>
    <xf numFmtId="164" fontId="6" fillId="6" borderId="25" xfId="5" applyFont="1" applyFill="1" applyBorder="1" applyAlignment="1">
      <alignment vertical="top"/>
    </xf>
    <xf numFmtId="37" fontId="6" fillId="6" borderId="25" xfId="0" applyNumberFormat="1" applyFont="1" applyFill="1" applyBorder="1" applyAlignment="1">
      <alignment vertical="top"/>
    </xf>
    <xf numFmtId="0" fontId="6" fillId="6" borderId="25" xfId="0" applyFont="1" applyFill="1" applyBorder="1" applyAlignment="1">
      <alignment vertical="top"/>
    </xf>
    <xf numFmtId="2" fontId="6" fillId="7" borderId="1" xfId="0" applyNumberFormat="1" applyFont="1" applyFill="1" applyBorder="1" applyAlignment="1">
      <alignment horizontal="right" vertical="top" wrapText="1"/>
    </xf>
    <xf numFmtId="2" fontId="6" fillId="6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/>
    </xf>
    <xf numFmtId="2" fontId="6" fillId="9" borderId="1" xfId="0" applyNumberFormat="1" applyFont="1" applyFill="1" applyBorder="1" applyAlignment="1">
      <alignment horizontal="right" vertical="top"/>
    </xf>
    <xf numFmtId="2" fontId="6" fillId="6" borderId="1" xfId="0" applyNumberFormat="1" applyFont="1" applyFill="1" applyBorder="1" applyAlignment="1">
      <alignment horizontal="right" vertical="top"/>
    </xf>
    <xf numFmtId="2" fontId="6" fillId="7" borderId="1" xfId="0" applyNumberFormat="1" applyFont="1" applyFill="1" applyBorder="1" applyAlignment="1">
      <alignment horizontal="right" vertical="top"/>
    </xf>
    <xf numFmtId="2" fontId="6" fillId="9" borderId="1" xfId="0" applyNumberFormat="1" applyFont="1" applyFill="1" applyBorder="1" applyAlignment="1">
      <alignment horizontal="right" vertical="top" wrapText="1"/>
    </xf>
    <xf numFmtId="164" fontId="4" fillId="0" borderId="0" xfId="5" applyFont="1" applyAlignment="1">
      <alignment vertical="top"/>
    </xf>
    <xf numFmtId="166" fontId="6" fillId="7" borderId="3" xfId="0" applyNumberFormat="1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5" fillId="0" borderId="1" xfId="5" applyFont="1" applyFill="1" applyBorder="1" applyAlignment="1">
      <alignment vertical="center"/>
    </xf>
    <xf numFmtId="164" fontId="5" fillId="0" borderId="1" xfId="5" applyFont="1" applyFill="1" applyBorder="1" applyAlignment="1">
      <alignment vertical="center" wrapText="1"/>
    </xf>
    <xf numFmtId="164" fontId="5" fillId="0" borderId="1" xfId="5" applyFont="1" applyFill="1" applyBorder="1" applyAlignment="1">
      <alignment horizontal="right" vertical="center" wrapText="1"/>
    </xf>
    <xf numFmtId="164" fontId="6" fillId="7" borderId="1" xfId="5" applyFont="1" applyFill="1" applyBorder="1" applyAlignment="1">
      <alignment horizontal="right" vertical="top" wrapText="1"/>
    </xf>
    <xf numFmtId="164" fontId="6" fillId="4" borderId="1" xfId="5" applyFont="1" applyFill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164" fontId="13" fillId="0" borderId="0" xfId="5" applyFont="1" applyFill="1" applyAlignment="1">
      <alignment horizontal="left" vertical="top"/>
    </xf>
    <xf numFmtId="2" fontId="13" fillId="0" borderId="0" xfId="0" applyNumberFormat="1" applyFont="1" applyAlignment="1">
      <alignment horizontal="left" vertical="top"/>
    </xf>
    <xf numFmtId="43" fontId="13" fillId="0" borderId="0" xfId="0" applyNumberFormat="1" applyFont="1" applyAlignment="1">
      <alignment horizontal="left" vertical="top"/>
    </xf>
    <xf numFmtId="165" fontId="4" fillId="0" borderId="1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37" fontId="6" fillId="3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top"/>
    </xf>
    <xf numFmtId="39" fontId="6" fillId="0" borderId="1" xfId="1" applyNumberFormat="1" applyFont="1" applyFill="1" applyBorder="1" applyAlignment="1">
      <alignment vertical="top"/>
    </xf>
    <xf numFmtId="39" fontId="6" fillId="0" borderId="24" xfId="1" applyNumberFormat="1" applyFont="1" applyFill="1" applyBorder="1" applyAlignment="1">
      <alignment vertical="top"/>
    </xf>
    <xf numFmtId="1" fontId="6" fillId="0" borderId="18" xfId="0" applyNumberFormat="1" applyFont="1" applyBorder="1" applyAlignment="1">
      <alignment horizontal="center" vertical="top" shrinkToFit="1"/>
    </xf>
    <xf numFmtId="49" fontId="6" fillId="0" borderId="18" xfId="0" applyNumberFormat="1" applyFont="1" applyBorder="1" applyAlignment="1">
      <alignment horizontal="center" vertical="top" shrinkToFit="1"/>
    </xf>
    <xf numFmtId="168" fontId="4" fillId="0" borderId="18" xfId="0" applyNumberFormat="1" applyFont="1" applyBorder="1" applyAlignment="1">
      <alignment horizontal="center" vertical="top" shrinkToFit="1"/>
    </xf>
    <xf numFmtId="0" fontId="4" fillId="0" borderId="27" xfId="0" applyFont="1" applyBorder="1" applyAlignment="1">
      <alignment horizontal="left" vertical="top" wrapText="1"/>
    </xf>
    <xf numFmtId="41" fontId="4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top" wrapText="1"/>
    </xf>
    <xf numFmtId="37" fontId="4" fillId="0" borderId="4" xfId="1" applyNumberFormat="1" applyFont="1" applyFill="1" applyBorder="1" applyAlignment="1">
      <alignment horizontal="center" vertical="top"/>
    </xf>
    <xf numFmtId="37" fontId="4" fillId="0" borderId="4" xfId="1" applyNumberFormat="1" applyFont="1" applyFill="1" applyBorder="1" applyAlignment="1">
      <alignment vertical="top" wrapText="1"/>
    </xf>
    <xf numFmtId="37" fontId="6" fillId="0" borderId="4" xfId="1" applyNumberFormat="1" applyFont="1" applyFill="1" applyBorder="1" applyAlignment="1">
      <alignment horizontal="right" vertical="top"/>
    </xf>
    <xf numFmtId="43" fontId="6" fillId="0" borderId="4" xfId="1" applyFont="1" applyFill="1" applyBorder="1" applyAlignment="1">
      <alignment horizontal="center" vertical="top"/>
    </xf>
    <xf numFmtId="37" fontId="6" fillId="0" borderId="4" xfId="1" applyNumberFormat="1" applyFont="1" applyFill="1" applyBorder="1" applyAlignment="1">
      <alignment vertical="top"/>
    </xf>
    <xf numFmtId="2" fontId="4" fillId="0" borderId="4" xfId="0" applyNumberFormat="1" applyFont="1" applyBorder="1" applyAlignment="1">
      <alignment vertical="top"/>
    </xf>
    <xf numFmtId="39" fontId="4" fillId="0" borderId="4" xfId="1" applyNumberFormat="1" applyFont="1" applyFill="1" applyBorder="1" applyAlignment="1">
      <alignment vertical="top"/>
    </xf>
    <xf numFmtId="2" fontId="6" fillId="0" borderId="4" xfId="0" applyNumberFormat="1" applyFont="1" applyBorder="1" applyAlignment="1">
      <alignment horizontal="right" vertical="top" wrapText="1"/>
    </xf>
    <xf numFmtId="164" fontId="4" fillId="0" borderId="4" xfId="5" applyFont="1" applyFill="1" applyBorder="1" applyAlignment="1">
      <alignment horizontal="right" vertical="top" wrapText="1"/>
    </xf>
    <xf numFmtId="164" fontId="4" fillId="0" borderId="4" xfId="5" applyFont="1" applyFill="1" applyBorder="1" applyAlignment="1">
      <alignment vertical="top"/>
    </xf>
    <xf numFmtId="37" fontId="4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vertical="top"/>
    </xf>
    <xf numFmtId="37" fontId="6" fillId="0" borderId="26" xfId="1" applyNumberFormat="1" applyFont="1" applyFill="1" applyBorder="1" applyAlignment="1">
      <alignment horizontal="center" vertical="top"/>
    </xf>
    <xf numFmtId="41" fontId="4" fillId="0" borderId="26" xfId="0" applyNumberFormat="1" applyFont="1" applyBorder="1" applyAlignment="1">
      <alignment horizontal="right" vertical="top"/>
    </xf>
    <xf numFmtId="0" fontId="4" fillId="0" borderId="26" xfId="0" applyFont="1" applyBorder="1" applyAlignment="1">
      <alignment horizontal="center" vertical="top" wrapText="1"/>
    </xf>
    <xf numFmtId="37" fontId="4" fillId="0" borderId="26" xfId="1" applyNumberFormat="1" applyFont="1" applyFill="1" applyBorder="1" applyAlignment="1">
      <alignment horizontal="center" vertical="top"/>
    </xf>
    <xf numFmtId="37" fontId="4" fillId="0" borderId="26" xfId="1" applyNumberFormat="1" applyFont="1" applyFill="1" applyBorder="1" applyAlignment="1">
      <alignment vertical="top" wrapText="1"/>
    </xf>
    <xf numFmtId="37" fontId="6" fillId="0" borderId="26" xfId="1" applyNumberFormat="1" applyFont="1" applyFill="1" applyBorder="1" applyAlignment="1">
      <alignment horizontal="right" vertical="top"/>
    </xf>
    <xf numFmtId="43" fontId="6" fillId="0" borderId="26" xfId="1" applyFont="1" applyFill="1" applyBorder="1" applyAlignment="1">
      <alignment horizontal="center" vertical="top"/>
    </xf>
    <xf numFmtId="37" fontId="6" fillId="0" borderId="26" xfId="1" applyNumberFormat="1" applyFont="1" applyFill="1" applyBorder="1" applyAlignment="1">
      <alignment vertical="top"/>
    </xf>
    <xf numFmtId="2" fontId="4" fillId="0" borderId="26" xfId="0" applyNumberFormat="1" applyFont="1" applyBorder="1" applyAlignment="1">
      <alignment vertical="top"/>
    </xf>
    <xf numFmtId="39" fontId="4" fillId="0" borderId="26" xfId="1" applyNumberFormat="1" applyFont="1" applyFill="1" applyBorder="1" applyAlignment="1">
      <alignment vertical="top"/>
    </xf>
    <xf numFmtId="2" fontId="6" fillId="0" borderId="25" xfId="0" applyNumberFormat="1" applyFont="1" applyBorder="1" applyAlignment="1">
      <alignment horizontal="right" vertical="top" wrapText="1"/>
    </xf>
    <xf numFmtId="164" fontId="4" fillId="0" borderId="26" xfId="5" applyFont="1" applyFill="1" applyBorder="1" applyAlignment="1">
      <alignment horizontal="right" vertical="top" wrapText="1"/>
    </xf>
    <xf numFmtId="164" fontId="4" fillId="0" borderId="26" xfId="5" applyFont="1" applyFill="1" applyBorder="1" applyAlignment="1">
      <alignment vertical="top"/>
    </xf>
    <xf numFmtId="37" fontId="4" fillId="0" borderId="26" xfId="0" applyNumberFormat="1" applyFont="1" applyBorder="1" applyAlignment="1">
      <alignment vertical="top"/>
    </xf>
    <xf numFmtId="0" fontId="6" fillId="0" borderId="26" xfId="0" applyFont="1" applyBorder="1" applyAlignment="1">
      <alignment vertical="top"/>
    </xf>
    <xf numFmtId="2" fontId="6" fillId="0" borderId="24" xfId="0" applyNumberFormat="1" applyFont="1" applyBorder="1" applyAlignment="1">
      <alignment horizontal="right" vertical="top" wrapText="1"/>
    </xf>
    <xf numFmtId="2" fontId="6" fillId="7" borderId="25" xfId="0" applyNumberFormat="1" applyFont="1" applyFill="1" applyBorder="1" applyAlignment="1">
      <alignment horizontal="right" vertical="top" wrapText="1"/>
    </xf>
    <xf numFmtId="0" fontId="27" fillId="0" borderId="0" xfId="0" applyFont="1" applyAlignment="1">
      <alignment vertical="top"/>
    </xf>
    <xf numFmtId="166" fontId="4" fillId="0" borderId="0" xfId="0" applyNumberFormat="1" applyFont="1" applyAlignment="1">
      <alignment vertical="top"/>
    </xf>
    <xf numFmtId="164" fontId="13" fillId="0" borderId="0" xfId="0" applyNumberFormat="1" applyFont="1" applyAlignment="1">
      <alignment vertical="top"/>
    </xf>
    <xf numFmtId="164" fontId="24" fillId="0" borderId="0" xfId="0" applyNumberFormat="1" applyFont="1" applyAlignment="1">
      <alignment vertical="top"/>
    </xf>
    <xf numFmtId="164" fontId="23" fillId="0" borderId="0" xfId="0" applyNumberFormat="1" applyFont="1" applyAlignment="1">
      <alignment vertical="top"/>
    </xf>
    <xf numFmtId="2" fontId="6" fillId="7" borderId="24" xfId="0" applyNumberFormat="1" applyFont="1" applyFill="1" applyBorder="1" applyAlignment="1">
      <alignment horizontal="right" vertical="top" wrapText="1"/>
    </xf>
    <xf numFmtId="2" fontId="6" fillId="6" borderId="25" xfId="0" applyNumberFormat="1" applyFont="1" applyFill="1" applyBorder="1" applyAlignment="1">
      <alignment horizontal="right" vertical="top" wrapText="1"/>
    </xf>
    <xf numFmtId="37" fontId="13" fillId="0" borderId="0" xfId="0" applyNumberFormat="1" applyFont="1" applyAlignment="1">
      <alignment vertical="top"/>
    </xf>
    <xf numFmtId="164" fontId="4" fillId="0" borderId="0" xfId="5" applyFont="1" applyFill="1" applyBorder="1" applyAlignment="1">
      <alignment horizontal="center" vertical="top" wrapText="1"/>
    </xf>
    <xf numFmtId="167" fontId="8" fillId="0" borderId="0" xfId="1" applyNumberFormat="1" applyFont="1" applyAlignment="1">
      <alignment vertical="top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0" borderId="4" xfId="5" applyFont="1" applyFill="1" applyBorder="1" applyAlignment="1">
      <alignment horizontal="center" vertical="center" wrapText="1"/>
    </xf>
    <xf numFmtId="164" fontId="6" fillId="0" borderId="2" xfId="5" applyFont="1" applyFill="1" applyBorder="1" applyAlignment="1">
      <alignment horizontal="center" vertical="center" wrapText="1"/>
    </xf>
    <xf numFmtId="164" fontId="6" fillId="0" borderId="3" xfId="5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textRotation="180" wrapText="1"/>
    </xf>
    <xf numFmtId="0" fontId="6" fillId="0" borderId="2" xfId="0" applyFont="1" applyBorder="1" applyAlignment="1">
      <alignment horizontal="center" vertical="top" textRotation="180" wrapText="1"/>
    </xf>
    <xf numFmtId="0" fontId="6" fillId="0" borderId="3" xfId="0" applyFont="1" applyBorder="1" applyAlignment="1">
      <alignment horizontal="center" vertical="top" textRotation="180" wrapText="1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" fontId="16" fillId="0" borderId="6" xfId="0" applyNumberFormat="1" applyFont="1" applyBorder="1" applyAlignment="1">
      <alignment horizontal="center" vertical="center" shrinkToFit="1"/>
    </xf>
    <xf numFmtId="1" fontId="16" fillId="0" borderId="5" xfId="0" applyNumberFormat="1" applyFont="1" applyBorder="1" applyAlignment="1">
      <alignment horizontal="center" vertical="center" shrinkToFit="1"/>
    </xf>
    <xf numFmtId="1" fontId="16" fillId="0" borderId="7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67" fontId="13" fillId="0" borderId="0" xfId="0" applyNumberFormat="1" applyFont="1" applyAlignment="1">
      <alignment horizontal="center" vertical="top"/>
    </xf>
  </cellXfs>
  <cellStyles count="6">
    <cellStyle name="Comma" xfId="1" builtinId="3"/>
    <cellStyle name="Comma [0]" xfId="5" builtinId="6"/>
    <cellStyle name="Normal" xfId="0" builtinId="0"/>
    <cellStyle name="Normal 2" xfId="2" xr:uid="{00000000-0005-0000-0000-000003000000}"/>
    <cellStyle name="Normal 2 2" xfId="3" xr:uid="{00000000-0005-0000-0000-000004000000}"/>
    <cellStyle name="Normal 2 2 2" xfId="4" xr:uid="{00000000-0005-0000-0000-000005000000}"/>
  </cellStyles>
  <dxfs count="0"/>
  <tableStyles count="0" defaultTableStyle="TableStyleMedium9" defaultPivotStyle="PivotStyleLight16"/>
  <colors>
    <mruColors>
      <color rgb="FFFFFF71"/>
      <color rgb="FFFFB7DB"/>
      <color rgb="FFFF99CC"/>
      <color rgb="FFCDE53B"/>
      <color rgb="FFFFFF53"/>
      <color rgb="FFFF66CC"/>
      <color rgb="FFFF552D"/>
      <color rgb="FF33CC33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300742</xdr:colOff>
      <xdr:row>53</xdr:row>
      <xdr:rowOff>152399</xdr:rowOff>
    </xdr:from>
    <xdr:to>
      <xdr:col>24</xdr:col>
      <xdr:colOff>895350</xdr:colOff>
      <xdr:row>66</xdr:row>
      <xdr:rowOff>104059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5967" y="21897974"/>
          <a:ext cx="4442708" cy="24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workbookViewId="0">
      <selection activeCell="J27" sqref="J27"/>
    </sheetView>
  </sheetViews>
  <sheetFormatPr defaultColWidth="9.1328125" defaultRowHeight="13.5" x14ac:dyDescent="0.45"/>
  <cols>
    <col min="1" max="1" width="15.59765625" style="89" customWidth="1"/>
    <col min="2" max="2" width="15.59765625" style="108" customWidth="1"/>
    <col min="3" max="7" width="15.59765625" style="89" customWidth="1"/>
    <col min="8" max="8" width="14.73046875" style="89" customWidth="1"/>
    <col min="9" max="9" width="15.3984375" style="89" customWidth="1"/>
    <col min="10" max="12" width="14.73046875" style="89" customWidth="1"/>
    <col min="13" max="13" width="17.1328125" style="89" customWidth="1"/>
    <col min="14" max="16384" width="9.1328125" style="89"/>
  </cols>
  <sheetData>
    <row r="1" spans="1:13" ht="17.25" customHeight="1" x14ac:dyDescent="0.45">
      <c r="A1" s="339" t="s">
        <v>126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3" ht="14.25" customHeight="1" x14ac:dyDescent="0.45">
      <c r="A2" s="90"/>
      <c r="B2" s="91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3" ht="24" customHeight="1" x14ac:dyDescent="0.45">
      <c r="A3" s="92" t="s">
        <v>16</v>
      </c>
      <c r="B3" s="92" t="s">
        <v>95</v>
      </c>
      <c r="C3" s="92" t="s">
        <v>96</v>
      </c>
      <c r="D3" s="92" t="s">
        <v>97</v>
      </c>
      <c r="E3" s="92" t="s">
        <v>94</v>
      </c>
      <c r="F3" s="92" t="s">
        <v>98</v>
      </c>
      <c r="G3" s="92" t="s">
        <v>99</v>
      </c>
      <c r="H3" s="92" t="s">
        <v>100</v>
      </c>
      <c r="I3" s="92" t="s">
        <v>101</v>
      </c>
      <c r="J3" s="92" t="s">
        <v>102</v>
      </c>
      <c r="K3" s="92" t="s">
        <v>103</v>
      </c>
      <c r="L3" s="92" t="s">
        <v>17</v>
      </c>
      <c r="M3" s="93" t="s">
        <v>116</v>
      </c>
    </row>
    <row r="4" spans="1:13" ht="20.100000000000001" customHeight="1" x14ac:dyDescent="0.45">
      <c r="A4" s="94">
        <v>0</v>
      </c>
      <c r="B4" s="94">
        <v>176415860</v>
      </c>
      <c r="C4" s="94">
        <v>15281155</v>
      </c>
      <c r="D4" s="94">
        <v>15281155</v>
      </c>
      <c r="E4" s="94">
        <v>179339645</v>
      </c>
      <c r="F4" s="94">
        <v>389619496</v>
      </c>
      <c r="G4" s="279">
        <v>1186306311</v>
      </c>
      <c r="H4" s="94">
        <v>508835656</v>
      </c>
      <c r="I4" s="94">
        <v>509399302</v>
      </c>
      <c r="J4" s="95">
        <v>3617000</v>
      </c>
      <c r="K4" s="94"/>
      <c r="L4" s="96"/>
      <c r="M4" s="97"/>
    </row>
    <row r="5" spans="1:13" ht="20.100000000000001" customHeight="1" x14ac:dyDescent="0.45">
      <c r="A5" s="98"/>
      <c r="B5" s="96">
        <v>15281155</v>
      </c>
      <c r="C5" s="94">
        <v>178723428</v>
      </c>
      <c r="D5" s="94">
        <v>179339645</v>
      </c>
      <c r="E5" s="94">
        <v>15281155</v>
      </c>
      <c r="F5" s="94">
        <v>162500000</v>
      </c>
      <c r="G5" s="279">
        <v>19059134</v>
      </c>
      <c r="H5" s="94">
        <v>945200</v>
      </c>
      <c r="I5" s="99">
        <v>2315000</v>
      </c>
      <c r="J5" s="94">
        <v>510670335</v>
      </c>
      <c r="K5" s="94"/>
      <c r="L5" s="96"/>
      <c r="M5" s="97"/>
    </row>
    <row r="6" spans="1:13" ht="20.100000000000001" customHeight="1" x14ac:dyDescent="0.45">
      <c r="A6" s="94"/>
      <c r="B6" s="94">
        <v>15281155</v>
      </c>
      <c r="C6" s="94">
        <v>105000000</v>
      </c>
      <c r="D6" s="94">
        <v>21570000</v>
      </c>
      <c r="E6" s="94">
        <v>110000000</v>
      </c>
      <c r="F6" s="94">
        <v>120370303</v>
      </c>
      <c r="G6" s="280">
        <f>180920000</f>
        <v>180920000</v>
      </c>
      <c r="H6" s="94">
        <v>9271200</v>
      </c>
      <c r="I6" s="99">
        <v>72500000</v>
      </c>
      <c r="J6" s="94">
        <v>13526000</v>
      </c>
      <c r="K6" s="94"/>
      <c r="L6" s="96"/>
      <c r="M6" s="97"/>
    </row>
    <row r="7" spans="1:13" ht="20.100000000000001" customHeight="1" x14ac:dyDescent="0.45">
      <c r="A7" s="94"/>
      <c r="B7" s="94">
        <v>176738009</v>
      </c>
      <c r="C7" s="94">
        <v>220000000</v>
      </c>
      <c r="D7" s="94">
        <v>34450000</v>
      </c>
      <c r="E7" s="94">
        <v>52500000</v>
      </c>
      <c r="F7" s="94"/>
      <c r="G7" s="280">
        <f>1718392</f>
        <v>1718392</v>
      </c>
      <c r="H7" s="94">
        <v>2522800</v>
      </c>
      <c r="I7" s="99">
        <v>14546750</v>
      </c>
      <c r="J7" s="94">
        <v>90920000</v>
      </c>
      <c r="K7" s="94"/>
      <c r="L7" s="96"/>
      <c r="M7" s="97"/>
    </row>
    <row r="8" spans="1:13" ht="20.100000000000001" customHeight="1" x14ac:dyDescent="0.45">
      <c r="A8" s="94"/>
      <c r="B8" s="94"/>
      <c r="C8" s="94">
        <v>11460900</v>
      </c>
      <c r="D8" s="94">
        <v>53425000</v>
      </c>
      <c r="E8" s="94">
        <v>65444950</v>
      </c>
      <c r="F8" s="94"/>
      <c r="G8" s="281">
        <f>41470714</f>
        <v>41470714</v>
      </c>
      <c r="H8" s="94">
        <v>1064000</v>
      </c>
      <c r="I8" s="99">
        <v>15496059</v>
      </c>
      <c r="J8" s="94">
        <v>2392706</v>
      </c>
      <c r="K8" s="94"/>
      <c r="L8" s="96"/>
      <c r="M8" s="97"/>
    </row>
    <row r="9" spans="1:13" ht="20.100000000000001" customHeight="1" x14ac:dyDescent="0.45">
      <c r="A9" s="94"/>
      <c r="B9" s="94"/>
      <c r="C9" s="94">
        <v>176798037</v>
      </c>
      <c r="D9" s="94">
        <v>64472978</v>
      </c>
      <c r="E9" s="94"/>
      <c r="F9" s="94"/>
      <c r="G9" s="279">
        <v>9807445</v>
      </c>
      <c r="H9" s="94">
        <v>34397500</v>
      </c>
      <c r="I9" s="98">
        <v>375000</v>
      </c>
      <c r="J9" s="94">
        <v>37404555</v>
      </c>
      <c r="K9" s="100"/>
      <c r="L9" s="96"/>
      <c r="M9" s="97"/>
    </row>
    <row r="10" spans="1:13" ht="20.100000000000001" customHeight="1" x14ac:dyDescent="0.45">
      <c r="A10" s="94"/>
      <c r="B10" s="94"/>
      <c r="C10" s="94">
        <v>52500000</v>
      </c>
      <c r="D10" s="94">
        <v>63585000</v>
      </c>
      <c r="E10" s="94"/>
      <c r="F10" s="94"/>
      <c r="G10" s="279">
        <v>36400000</v>
      </c>
      <c r="H10" s="94">
        <v>846530</v>
      </c>
      <c r="I10" s="94">
        <v>1234710000</v>
      </c>
      <c r="J10" s="94">
        <v>3774000</v>
      </c>
      <c r="K10" s="98"/>
      <c r="L10" s="96"/>
      <c r="M10" s="97"/>
    </row>
    <row r="11" spans="1:13" ht="20.100000000000001" customHeight="1" x14ac:dyDescent="0.45">
      <c r="A11" s="94"/>
      <c r="B11" s="94"/>
      <c r="C11" s="94">
        <v>110000000</v>
      </c>
      <c r="D11" s="94"/>
      <c r="E11" s="101"/>
      <c r="F11" s="100"/>
      <c r="G11" s="94">
        <v>15900000</v>
      </c>
      <c r="H11" s="94">
        <v>72500000</v>
      </c>
      <c r="I11" s="94">
        <v>61597671</v>
      </c>
      <c r="J11" s="94">
        <v>9858000</v>
      </c>
      <c r="K11" s="94"/>
      <c r="L11" s="96"/>
      <c r="M11" s="97"/>
    </row>
    <row r="12" spans="1:13" ht="20.100000000000001" customHeight="1" x14ac:dyDescent="0.45">
      <c r="A12" s="94"/>
      <c r="B12" s="94"/>
      <c r="C12" s="94">
        <v>59889046</v>
      </c>
      <c r="D12" s="94"/>
      <c r="E12" s="98"/>
      <c r="F12" s="100"/>
      <c r="G12" s="94">
        <v>20890000</v>
      </c>
      <c r="H12" s="94">
        <v>3132548</v>
      </c>
      <c r="I12" s="100">
        <v>30425000</v>
      </c>
      <c r="J12" s="98">
        <v>1364000</v>
      </c>
      <c r="K12" s="94"/>
      <c r="L12" s="96"/>
      <c r="M12" s="97"/>
    </row>
    <row r="13" spans="1:13" ht="20.100000000000001" customHeight="1" x14ac:dyDescent="0.45">
      <c r="A13" s="94"/>
      <c r="B13" s="94"/>
      <c r="C13" s="94"/>
      <c r="D13" s="94"/>
      <c r="E13" s="102"/>
      <c r="F13" s="100"/>
      <c r="G13" s="100">
        <v>52450000</v>
      </c>
      <c r="H13" s="94">
        <v>31625105</v>
      </c>
      <c r="I13" s="98">
        <v>2453994</v>
      </c>
      <c r="J13" s="94">
        <v>51300000</v>
      </c>
      <c r="K13" s="94"/>
      <c r="L13" s="96"/>
      <c r="M13" s="97"/>
    </row>
    <row r="14" spans="1:13" ht="20.100000000000001" customHeight="1" x14ac:dyDescent="0.45">
      <c r="A14" s="103"/>
      <c r="B14" s="103"/>
      <c r="C14" s="103"/>
      <c r="D14" s="103"/>
      <c r="E14" s="104"/>
      <c r="F14" s="105"/>
      <c r="G14" s="105">
        <v>20955000</v>
      </c>
      <c r="H14" s="103">
        <v>10799000</v>
      </c>
      <c r="I14" s="94">
        <v>92873700</v>
      </c>
      <c r="J14" s="103">
        <v>4384000</v>
      </c>
      <c r="K14" s="103"/>
      <c r="L14" s="106"/>
      <c r="M14" s="97"/>
    </row>
    <row r="15" spans="1:13" ht="20.100000000000001" customHeight="1" x14ac:dyDescent="0.45">
      <c r="A15" s="103"/>
      <c r="B15" s="103"/>
      <c r="C15" s="103"/>
      <c r="D15" s="103"/>
      <c r="E15" s="104"/>
      <c r="F15" s="105"/>
      <c r="G15" s="105"/>
      <c r="H15" s="100">
        <v>18506000</v>
      </c>
      <c r="I15" s="103"/>
      <c r="J15" s="103">
        <v>54258500</v>
      </c>
      <c r="K15" s="103"/>
      <c r="L15" s="106"/>
      <c r="M15" s="97"/>
    </row>
    <row r="16" spans="1:13" ht="20.100000000000001" customHeight="1" x14ac:dyDescent="0.45">
      <c r="A16" s="103"/>
      <c r="B16" s="103"/>
      <c r="C16" s="103"/>
      <c r="D16" s="103"/>
      <c r="E16" s="104"/>
      <c r="F16" s="105"/>
      <c r="G16" s="105"/>
      <c r="H16" s="103">
        <v>9040000</v>
      </c>
      <c r="I16" s="103"/>
      <c r="J16" s="103"/>
      <c r="K16" s="103"/>
      <c r="L16" s="106"/>
      <c r="M16" s="97"/>
    </row>
    <row r="17" spans="1:13" ht="20.100000000000001" customHeight="1" x14ac:dyDescent="0.45">
      <c r="A17" s="103"/>
      <c r="B17" s="103"/>
      <c r="C17" s="103"/>
      <c r="D17" s="103"/>
      <c r="E17" s="104"/>
      <c r="F17" s="105"/>
      <c r="G17" s="105"/>
      <c r="H17" s="103">
        <v>67620000</v>
      </c>
      <c r="I17" s="103"/>
      <c r="J17" s="103"/>
      <c r="K17" s="103"/>
      <c r="L17" s="106"/>
      <c r="M17" s="97"/>
    </row>
    <row r="18" spans="1:13" ht="20.100000000000001" customHeight="1" x14ac:dyDescent="0.45">
      <c r="A18" s="103"/>
      <c r="B18" s="103"/>
      <c r="C18" s="103"/>
      <c r="D18" s="103"/>
      <c r="E18" s="104"/>
      <c r="F18" s="105"/>
      <c r="G18" s="105"/>
      <c r="H18" s="103"/>
      <c r="I18" s="103"/>
      <c r="J18" s="103"/>
      <c r="K18" s="103"/>
      <c r="L18" s="106"/>
      <c r="M18" s="97"/>
    </row>
    <row r="19" spans="1:13" ht="20.100000000000001" customHeight="1" x14ac:dyDescent="0.45">
      <c r="A19" s="103"/>
      <c r="B19" s="103"/>
      <c r="C19" s="103"/>
      <c r="D19" s="103"/>
      <c r="E19" s="104"/>
      <c r="F19" s="105"/>
      <c r="G19" s="105"/>
      <c r="H19" s="103"/>
      <c r="I19" s="103"/>
      <c r="J19" s="103"/>
      <c r="K19" s="103"/>
      <c r="L19" s="106"/>
      <c r="M19" s="97"/>
    </row>
    <row r="20" spans="1:13" ht="20.100000000000001" customHeight="1" x14ac:dyDescent="0.45">
      <c r="A20" s="103"/>
      <c r="B20" s="103"/>
      <c r="C20" s="103"/>
      <c r="D20" s="103"/>
      <c r="E20" s="104"/>
      <c r="F20" s="105"/>
      <c r="G20" s="105"/>
      <c r="H20" s="103"/>
      <c r="I20" s="103"/>
      <c r="J20" s="103"/>
      <c r="K20" s="103"/>
      <c r="L20" s="106"/>
      <c r="M20" s="97"/>
    </row>
    <row r="21" spans="1:13" ht="20.100000000000001" customHeight="1" x14ac:dyDescent="0.45">
      <c r="A21" s="103"/>
      <c r="B21" s="103"/>
      <c r="C21" s="103"/>
      <c r="D21" s="103"/>
      <c r="E21" s="104"/>
      <c r="F21" s="105"/>
      <c r="G21" s="105"/>
      <c r="H21" s="103"/>
      <c r="I21" s="103"/>
      <c r="J21" s="103"/>
      <c r="K21" s="103"/>
      <c r="L21" s="106"/>
      <c r="M21" s="97"/>
    </row>
    <row r="22" spans="1:13" ht="20.100000000000001" customHeight="1" x14ac:dyDescent="0.45">
      <c r="A22" s="103"/>
      <c r="B22" s="103"/>
      <c r="C22" s="103"/>
      <c r="D22" s="103"/>
      <c r="E22" s="104"/>
      <c r="F22" s="105"/>
      <c r="G22" s="105"/>
      <c r="H22" s="103"/>
      <c r="I22" s="103"/>
      <c r="J22" s="103"/>
      <c r="K22" s="103"/>
      <c r="L22" s="106"/>
      <c r="M22" s="97"/>
    </row>
    <row r="23" spans="1:13" ht="20.100000000000001" customHeight="1" x14ac:dyDescent="0.45">
      <c r="A23" s="103"/>
      <c r="B23" s="103"/>
      <c r="C23" s="103"/>
      <c r="D23" s="103"/>
      <c r="E23" s="104"/>
      <c r="F23" s="105"/>
      <c r="G23" s="105"/>
      <c r="H23" s="103"/>
      <c r="I23" s="103"/>
      <c r="J23" s="103"/>
      <c r="K23" s="103"/>
      <c r="L23" s="106"/>
      <c r="M23" s="97"/>
    </row>
    <row r="24" spans="1:13" ht="20.100000000000001" customHeight="1" x14ac:dyDescent="0.45">
      <c r="A24" s="103"/>
      <c r="B24" s="103"/>
      <c r="C24" s="103"/>
      <c r="D24" s="103"/>
      <c r="E24" s="104"/>
      <c r="F24" s="105"/>
      <c r="G24" s="105"/>
      <c r="H24" s="103"/>
      <c r="I24" s="103"/>
      <c r="J24" s="103"/>
      <c r="K24" s="103"/>
      <c r="L24" s="106"/>
      <c r="M24" s="97"/>
    </row>
    <row r="25" spans="1:13" ht="20.100000000000001" customHeight="1" thickBot="1" x14ac:dyDescent="0.5">
      <c r="A25" s="209"/>
      <c r="B25" s="209"/>
      <c r="C25" s="209"/>
      <c r="D25" s="209"/>
      <c r="E25" s="210"/>
      <c r="F25" s="211"/>
      <c r="G25" s="211"/>
      <c r="H25" s="209"/>
      <c r="I25" s="209"/>
      <c r="J25" s="209"/>
      <c r="K25" s="209"/>
      <c r="L25" s="212"/>
      <c r="M25" s="213"/>
    </row>
    <row r="26" spans="1:13" s="107" customFormat="1" ht="20.100000000000001" customHeight="1" thickTop="1" x14ac:dyDescent="0.45">
      <c r="A26" s="214">
        <f t="shared" ref="A26:F26" si="0">SUM(A4:A13)</f>
        <v>0</v>
      </c>
      <c r="B26" s="214">
        <f t="shared" si="0"/>
        <v>383716179</v>
      </c>
      <c r="C26" s="214">
        <f t="shared" si="0"/>
        <v>929652566</v>
      </c>
      <c r="D26" s="214">
        <f t="shared" si="0"/>
        <v>432123778</v>
      </c>
      <c r="E26" s="214">
        <f t="shared" si="0"/>
        <v>422565750</v>
      </c>
      <c r="F26" s="214">
        <f t="shared" si="0"/>
        <v>672489799</v>
      </c>
      <c r="G26" s="214">
        <f>SUM(G4:G25)</f>
        <v>1585876996</v>
      </c>
      <c r="H26" s="214">
        <f>SUM(H4:H25)</f>
        <v>771105539</v>
      </c>
      <c r="I26" s="214">
        <f>SUM(I4:I14)</f>
        <v>2036692476</v>
      </c>
      <c r="J26" s="214">
        <f>SUM(J4:J25)</f>
        <v>783469096</v>
      </c>
      <c r="K26" s="214">
        <f>SUM(K4:K13)</f>
        <v>0</v>
      </c>
      <c r="L26" s="214">
        <f>SUM(L4:L25)</f>
        <v>0</v>
      </c>
      <c r="M26" s="215">
        <f>SUM(A26:L26)</f>
        <v>8017692179</v>
      </c>
    </row>
    <row r="27" spans="1:13" x14ac:dyDescent="0.45">
      <c r="A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</row>
    <row r="28" spans="1:13" x14ac:dyDescent="0.45">
      <c r="A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</row>
    <row r="29" spans="1:13" x14ac:dyDescent="0.45">
      <c r="A29" s="108"/>
      <c r="C29" s="108"/>
      <c r="D29" s="108"/>
      <c r="E29" s="108"/>
      <c r="F29" s="108"/>
      <c r="G29" s="108"/>
      <c r="H29" s="108"/>
      <c r="I29" s="108"/>
      <c r="J29" s="108"/>
      <c r="K29" s="108"/>
      <c r="L29" s="110"/>
      <c r="M29" s="110"/>
    </row>
    <row r="30" spans="1:13" x14ac:dyDescent="0.45">
      <c r="A30" s="109" t="s">
        <v>107</v>
      </c>
      <c r="B30" s="109">
        <v>3553665</v>
      </c>
      <c r="C30" s="109"/>
      <c r="D30" s="108"/>
      <c r="E30" s="108"/>
      <c r="F30" s="108"/>
      <c r="G30" s="108"/>
      <c r="H30" s="108"/>
      <c r="I30" s="108"/>
      <c r="J30" s="108"/>
      <c r="K30" s="108"/>
      <c r="L30" s="110">
        <f>M26</f>
        <v>8017692179</v>
      </c>
      <c r="M30" s="110"/>
    </row>
    <row r="31" spans="1:13" x14ac:dyDescent="0.35">
      <c r="A31" s="109" t="s">
        <v>108</v>
      </c>
      <c r="B31" s="109">
        <v>1738260</v>
      </c>
      <c r="C31" s="109"/>
      <c r="D31" s="108"/>
      <c r="E31" s="108"/>
      <c r="F31" s="108"/>
      <c r="G31" s="108"/>
      <c r="H31" s="108"/>
      <c r="I31" s="108"/>
      <c r="J31" s="108"/>
      <c r="K31" s="108"/>
      <c r="L31" s="111">
        <v>66300000</v>
      </c>
      <c r="M31" s="108"/>
    </row>
    <row r="32" spans="1:13" x14ac:dyDescent="0.45">
      <c r="A32" s="109" t="s">
        <v>109</v>
      </c>
      <c r="B32" s="109">
        <v>2619600</v>
      </c>
      <c r="C32" s="109"/>
      <c r="D32" s="108"/>
      <c r="E32" s="108"/>
      <c r="F32" s="108"/>
      <c r="G32" s="108"/>
      <c r="H32" s="108"/>
      <c r="I32" s="108"/>
      <c r="J32" s="108"/>
      <c r="K32" s="108"/>
      <c r="L32" s="110">
        <f>L30+L31</f>
        <v>8083992179</v>
      </c>
      <c r="M32" s="108"/>
    </row>
    <row r="33" spans="1:3" x14ac:dyDescent="0.45">
      <c r="A33" s="112" t="s">
        <v>110</v>
      </c>
      <c r="B33" s="109">
        <v>248000</v>
      </c>
      <c r="C33" s="112"/>
    </row>
    <row r="34" spans="1:3" x14ac:dyDescent="0.45">
      <c r="A34" s="112" t="s">
        <v>111</v>
      </c>
      <c r="B34" s="109">
        <v>2235540</v>
      </c>
      <c r="C34" s="112"/>
    </row>
    <row r="35" spans="1:3" x14ac:dyDescent="0.45">
      <c r="A35" s="112" t="s">
        <v>112</v>
      </c>
      <c r="B35" s="109">
        <v>1354311</v>
      </c>
      <c r="C35" s="112"/>
    </row>
    <row r="36" spans="1:3" x14ac:dyDescent="0.45">
      <c r="A36" s="112" t="s">
        <v>113</v>
      </c>
      <c r="B36" s="109">
        <f>2840968+485000</f>
        <v>3325968</v>
      </c>
      <c r="C36" s="112"/>
    </row>
    <row r="37" spans="1:3" x14ac:dyDescent="0.45">
      <c r="A37" s="112" t="s">
        <v>114</v>
      </c>
      <c r="B37" s="109">
        <v>3777250</v>
      </c>
      <c r="C37" s="112"/>
    </row>
    <row r="38" spans="1:3" x14ac:dyDescent="0.45">
      <c r="A38" s="112" t="s">
        <v>115</v>
      </c>
      <c r="B38" s="109">
        <v>4800000</v>
      </c>
      <c r="C38" s="109">
        <f>95000+32000+76000+32000+76000+32000+76000+32000</f>
        <v>451000</v>
      </c>
    </row>
    <row r="39" spans="1:3" x14ac:dyDescent="0.45">
      <c r="A39" s="112"/>
      <c r="B39" s="109"/>
      <c r="C39" s="112"/>
    </row>
    <row r="40" spans="1:3" x14ac:dyDescent="0.45">
      <c r="A40" s="112"/>
      <c r="B40" s="109">
        <f>SUM(B30:B39)</f>
        <v>23652594</v>
      </c>
      <c r="C40" s="112"/>
    </row>
    <row r="80" spans="1:3" x14ac:dyDescent="0.45">
      <c r="A80" s="112" t="s">
        <v>107</v>
      </c>
      <c r="B80" s="109">
        <v>3553665</v>
      </c>
      <c r="C80" s="112"/>
    </row>
    <row r="81" spans="1:3" x14ac:dyDescent="0.45">
      <c r="A81" s="112" t="s">
        <v>108</v>
      </c>
      <c r="B81" s="109">
        <v>1738260</v>
      </c>
      <c r="C81" s="112"/>
    </row>
    <row r="82" spans="1:3" x14ac:dyDescent="0.45">
      <c r="A82" s="112" t="s">
        <v>109</v>
      </c>
      <c r="B82" s="109">
        <v>2619600</v>
      </c>
      <c r="C82" s="112"/>
    </row>
    <row r="83" spans="1:3" x14ac:dyDescent="0.45">
      <c r="A83" s="112" t="s">
        <v>110</v>
      </c>
      <c r="B83" s="109">
        <v>248000</v>
      </c>
      <c r="C83" s="112"/>
    </row>
    <row r="84" spans="1:3" x14ac:dyDescent="0.45">
      <c r="A84" s="112" t="s">
        <v>111</v>
      </c>
      <c r="B84" s="109">
        <v>2235540</v>
      </c>
      <c r="C84" s="112"/>
    </row>
    <row r="85" spans="1:3" x14ac:dyDescent="0.45">
      <c r="A85" s="112" t="s">
        <v>112</v>
      </c>
      <c r="B85" s="109">
        <v>1354311</v>
      </c>
      <c r="C85" s="112"/>
    </row>
    <row r="86" spans="1:3" x14ac:dyDescent="0.45">
      <c r="A86" s="112" t="s">
        <v>113</v>
      </c>
      <c r="B86" s="109">
        <f>2840968+485000</f>
        <v>3325968</v>
      </c>
      <c r="C86" s="112"/>
    </row>
    <row r="87" spans="1:3" x14ac:dyDescent="0.45">
      <c r="A87" s="112" t="s">
        <v>114</v>
      </c>
      <c r="B87" s="109">
        <v>3777250</v>
      </c>
      <c r="C87" s="112"/>
    </row>
    <row r="88" spans="1:3" x14ac:dyDescent="0.45">
      <c r="A88" s="112" t="s">
        <v>115</v>
      </c>
      <c r="B88" s="109">
        <v>4800000</v>
      </c>
      <c r="C88" s="109">
        <f>95000+32000+76000+32000+76000+32000+76000+32000</f>
        <v>451000</v>
      </c>
    </row>
    <row r="89" spans="1:3" x14ac:dyDescent="0.45">
      <c r="A89" s="112"/>
      <c r="B89" s="109"/>
      <c r="C89" s="112"/>
    </row>
    <row r="90" spans="1:3" x14ac:dyDescent="0.45">
      <c r="A90" s="112"/>
      <c r="B90" s="109">
        <f>SUM(B80:B89)</f>
        <v>23652594</v>
      </c>
      <c r="C90" s="112"/>
    </row>
  </sheetData>
  <mergeCells count="1">
    <mergeCell ref="A1:M1"/>
  </mergeCells>
  <pageMargins left="0.7" right="0.7" top="0.75" bottom="0.75" header="0.3" footer="0.3"/>
  <pageSetup paperSize="9" orientation="portrait" horizontalDpi="4294967293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Z67"/>
  <sheetViews>
    <sheetView topLeftCell="G1" workbookViewId="0">
      <selection activeCell="V15" sqref="V15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6.06640625" style="1" customWidth="1"/>
    <col min="9" max="9" width="8.73046875" style="1" customWidth="1"/>
    <col min="10" max="10" width="6.265625" style="1" customWidth="1"/>
    <col min="11" max="11" width="6.46484375" style="1" customWidth="1"/>
    <col min="12" max="12" width="6.33203125" style="1" customWidth="1"/>
    <col min="13" max="13" width="7.06640625" style="1" customWidth="1"/>
    <col min="14" max="14" width="5" style="1" customWidth="1"/>
    <col min="15" max="15" width="7" style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5" style="1" customWidth="1"/>
    <col min="26" max="26" width="5.7304687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139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21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21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11767402484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11767402484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35.592222222222226</v>
      </c>
      <c r="R14" s="133">
        <f>(R15+R35+R45)/3</f>
        <v>9.0518518518518523</v>
      </c>
      <c r="S14" s="133">
        <f>Q14+R14</f>
        <v>44.644074074074076</v>
      </c>
      <c r="T14" s="275">
        <f>(P14*S14)/100</f>
        <v>44.644074074074076</v>
      </c>
      <c r="U14" s="283">
        <v>5196230607</v>
      </c>
      <c r="V14" s="88">
        <f>V15+V35+V45</f>
        <v>2036692476</v>
      </c>
      <c r="W14" s="88">
        <f t="shared" ref="W14" si="0">U14+V14</f>
        <v>7232923083</v>
      </c>
      <c r="X14" s="135">
        <f>W14/H14*100</f>
        <v>61.465757569136613</v>
      </c>
      <c r="Y14" s="136">
        <f t="shared" ref="Y14:Y52" si="1">H14-W14</f>
        <v>4534479401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8503099195.9899998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72.259780419268949</v>
      </c>
      <c r="Q15" s="187">
        <v>68.933333333333323</v>
      </c>
      <c r="R15" s="187">
        <f>(R16+R19+R21+R28+R31)/5</f>
        <v>3.9333333333333336</v>
      </c>
      <c r="S15" s="187">
        <f t="shared" ref="S15:S51" si="2">Q15+R15</f>
        <v>72.86666666666666</v>
      </c>
      <c r="T15" s="268">
        <f t="shared" ref="T15:T51" si="3">(P15*S15)/100</f>
        <v>52.653293332173973</v>
      </c>
      <c r="U15" s="282">
        <v>4622853205</v>
      </c>
      <c r="V15" s="188">
        <f>V16+V19+V21+V28+V31</f>
        <v>614257111</v>
      </c>
      <c r="W15" s="189">
        <f>U15+V15</f>
        <v>5237110316</v>
      </c>
      <c r="X15" s="187">
        <f t="shared" ref="X15:X52" si="4">W15/H15*100</f>
        <v>61.590605910722331</v>
      </c>
      <c r="Y15" s="190">
        <f t="shared" si="1"/>
        <v>3265988879.9899998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19880009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0.16894135325982618</v>
      </c>
      <c r="Q16" s="166">
        <v>27</v>
      </c>
      <c r="R16" s="166">
        <f>SUM(R17:R18)/2</f>
        <v>0</v>
      </c>
      <c r="S16" s="166">
        <f t="shared" si="2"/>
        <v>27</v>
      </c>
      <c r="T16" s="269">
        <f t="shared" si="3"/>
        <v>4.5614165380153067E-2</v>
      </c>
      <c r="U16" s="168">
        <v>7174000</v>
      </c>
      <c r="V16" s="168">
        <f>SUM(V17:V18)</f>
        <v>0</v>
      </c>
      <c r="W16" s="173">
        <f t="shared" ref="W16:W52" si="5">U16+V16</f>
        <v>7174000</v>
      </c>
      <c r="X16" s="166">
        <f t="shared" si="4"/>
        <v>36.086502777740193</v>
      </c>
      <c r="Y16" s="169">
        <f t="shared" si="1"/>
        <v>12706009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13370000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0.1136189572692787</v>
      </c>
      <c r="Q17" s="24">
        <v>54</v>
      </c>
      <c r="R17" s="24">
        <v>0</v>
      </c>
      <c r="S17" s="24">
        <f t="shared" si="2"/>
        <v>54</v>
      </c>
      <c r="T17" s="270">
        <f t="shared" si="3"/>
        <v>6.1354236925410498E-2</v>
      </c>
      <c r="U17" s="26">
        <v>7174000</v>
      </c>
      <c r="V17" s="26">
        <v>0</v>
      </c>
      <c r="W17" s="27">
        <f t="shared" si="5"/>
        <v>7174000</v>
      </c>
      <c r="X17" s="24">
        <f t="shared" si="4"/>
        <v>53.657442034405392</v>
      </c>
      <c r="Y17" s="28">
        <f t="shared" si="1"/>
        <v>6196000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5.5322395990547467E-2</v>
      </c>
      <c r="Q18" s="24">
        <v>0</v>
      </c>
      <c r="R18" s="24">
        <v>0</v>
      </c>
      <c r="S18" s="24">
        <f>Q18+R18</f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49.405499777073828</v>
      </c>
      <c r="Q19" s="166">
        <v>64</v>
      </c>
      <c r="R19" s="166">
        <f>R20</f>
        <v>9</v>
      </c>
      <c r="S19" s="166">
        <f t="shared" si="2"/>
        <v>73</v>
      </c>
      <c r="T19" s="269">
        <f t="shared" si="3"/>
        <v>36.066014837263893</v>
      </c>
      <c r="U19" s="168">
        <v>3239982762</v>
      </c>
      <c r="V19" s="168">
        <f>SUM(V20)</f>
        <v>509399302</v>
      </c>
      <c r="W19" s="168">
        <f t="shared" si="5"/>
        <v>3749382064</v>
      </c>
      <c r="X19" s="166">
        <f t="shared" si="4"/>
        <v>64.491695176820045</v>
      </c>
      <c r="Y19" s="169">
        <f t="shared" si="1"/>
        <v>2064361944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49.405499777073828</v>
      </c>
      <c r="Q20" s="24">
        <v>56</v>
      </c>
      <c r="R20" s="24">
        <v>9</v>
      </c>
      <c r="S20" s="24">
        <f t="shared" si="2"/>
        <v>65</v>
      </c>
      <c r="T20" s="270">
        <f t="shared" si="3"/>
        <v>32.113574855097987</v>
      </c>
      <c r="U20" s="32">
        <v>3239982762</v>
      </c>
      <c r="V20" s="26">
        <f>509399302</f>
        <v>509399302</v>
      </c>
      <c r="W20" s="26">
        <f t="shared" si="5"/>
        <v>3749382064</v>
      </c>
      <c r="X20" s="24">
        <f t="shared" si="4"/>
        <v>64.491695176820045</v>
      </c>
      <c r="Y20" s="28">
        <f t="shared" si="1"/>
        <v>2064361944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192329804.99000001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1.634428713146411</v>
      </c>
      <c r="Q21" s="166">
        <v>40</v>
      </c>
      <c r="R21" s="166">
        <f>SUM(R22:R27)/6</f>
        <v>0.33333333333333331</v>
      </c>
      <c r="S21" s="166">
        <f t="shared" si="2"/>
        <v>40.333333333333336</v>
      </c>
      <c r="T21" s="269">
        <f t="shared" si="3"/>
        <v>0.65921958096905242</v>
      </c>
      <c r="U21" s="168">
        <v>107046184</v>
      </c>
      <c r="V21" s="168">
        <f>SUM(V22:V27)</f>
        <v>2315000</v>
      </c>
      <c r="W21" s="173">
        <f t="shared" si="5"/>
        <v>109361184</v>
      </c>
      <c r="X21" s="166">
        <f>W21/H21*100</f>
        <v>56.861277432109979</v>
      </c>
      <c r="Y21" s="169">
        <f t="shared" si="1"/>
        <v>82968620.99000001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3.2873440041332407E-2</v>
      </c>
      <c r="Q22" s="24">
        <v>50</v>
      </c>
      <c r="R22" s="24">
        <v>0</v>
      </c>
      <c r="S22" s="24">
        <f t="shared" si="2"/>
        <v>50</v>
      </c>
      <c r="T22" s="270">
        <f t="shared" si="3"/>
        <v>1.6436720020666203E-2</v>
      </c>
      <c r="U22" s="32">
        <v>1927400</v>
      </c>
      <c r="V22" s="32">
        <v>0</v>
      </c>
      <c r="W22" s="26">
        <f t="shared" si="5"/>
        <v>1927400</v>
      </c>
      <c r="X22" s="24">
        <f t="shared" si="4"/>
        <v>49.824860728734471</v>
      </c>
      <c r="Y22" s="28">
        <f t="shared" si="1"/>
        <v>1940950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65355725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0.55539635946729471</v>
      </c>
      <c r="Q23" s="24">
        <v>34</v>
      </c>
      <c r="R23" s="24">
        <v>0</v>
      </c>
      <c r="S23" s="24">
        <f t="shared" si="2"/>
        <v>34</v>
      </c>
      <c r="T23" s="270">
        <f t="shared" si="3"/>
        <v>0.18883476221888021</v>
      </c>
      <c r="U23" s="32">
        <v>22010550</v>
      </c>
      <c r="V23" s="32">
        <v>0</v>
      </c>
      <c r="W23" s="26">
        <f t="shared" si="5"/>
        <v>22010550</v>
      </c>
      <c r="X23" s="24">
        <f t="shared" si="4"/>
        <v>33.678074874083336</v>
      </c>
      <c r="Y23" s="28">
        <f t="shared" si="1"/>
        <v>43345175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8.338900631080004E-2</v>
      </c>
      <c r="Q24" s="24">
        <v>42</v>
      </c>
      <c r="R24" s="24">
        <v>0</v>
      </c>
      <c r="S24" s="24">
        <f t="shared" si="2"/>
        <v>42</v>
      </c>
      <c r="T24" s="270">
        <f t="shared" si="3"/>
        <v>3.502338265053602E-2</v>
      </c>
      <c r="U24" s="32">
        <v>4109600</v>
      </c>
      <c r="V24" s="32">
        <v>0</v>
      </c>
      <c r="W24" s="26">
        <f t="shared" si="5"/>
        <v>4109600</v>
      </c>
      <c r="X24" s="24">
        <f t="shared" si="4"/>
        <v>41.880334912236364</v>
      </c>
      <c r="Y24" s="28">
        <f t="shared" si="1"/>
        <v>5703120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5.7425672311184284E-2</v>
      </c>
      <c r="Q25" s="24">
        <v>36</v>
      </c>
      <c r="R25" s="24">
        <v>0</v>
      </c>
      <c r="S25" s="24">
        <f t="shared" si="2"/>
        <v>36</v>
      </c>
      <c r="T25" s="270">
        <f t="shared" si="3"/>
        <v>2.0673242032026345E-2</v>
      </c>
      <c r="U25" s="32">
        <v>2394000</v>
      </c>
      <c r="V25" s="32">
        <v>0</v>
      </c>
      <c r="W25" s="26">
        <f t="shared" si="5"/>
        <v>2394000</v>
      </c>
      <c r="X25" s="24">
        <f t="shared" si="4"/>
        <v>35.427250622532931</v>
      </c>
      <c r="Y25" s="54">
        <f t="shared" si="1"/>
        <v>4363509.99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6.31575235920179E-2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99103500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0.84218671142378165</v>
      </c>
      <c r="Q27" s="24">
        <v>78</v>
      </c>
      <c r="R27" s="24">
        <v>2</v>
      </c>
      <c r="S27" s="24">
        <f t="shared" si="2"/>
        <v>80</v>
      </c>
      <c r="T27" s="270">
        <f t="shared" si="3"/>
        <v>0.67374936913902528</v>
      </c>
      <c r="U27" s="32">
        <v>76604634</v>
      </c>
      <c r="V27" s="26">
        <v>2315000</v>
      </c>
      <c r="W27" s="26">
        <f t="shared" si="5"/>
        <v>78919634</v>
      </c>
      <c r="X27" s="24">
        <f t="shared" si="4"/>
        <v>79.633548764675311</v>
      </c>
      <c r="Y27" s="28">
        <f t="shared" si="1"/>
        <v>20183866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17.69532403460536</v>
      </c>
      <c r="Q28" s="166">
        <v>34</v>
      </c>
      <c r="R28" s="166">
        <f>SUM(R29:R30)/2</f>
        <v>2</v>
      </c>
      <c r="S28" s="166">
        <f t="shared" si="2"/>
        <v>36</v>
      </c>
      <c r="T28" s="269">
        <f t="shared" si="3"/>
        <v>6.3703166524579293</v>
      </c>
      <c r="U28" s="168">
        <v>1089850512</v>
      </c>
      <c r="V28" s="168">
        <f>SUM(V29:V30)</f>
        <v>72500000</v>
      </c>
      <c r="W28" s="173">
        <f t="shared" si="5"/>
        <v>1162350512</v>
      </c>
      <c r="X28" s="166">
        <f t="shared" si="4"/>
        <v>55.821047697715962</v>
      </c>
      <c r="Y28" s="169">
        <f t="shared" si="1"/>
        <v>919929488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0.13596883442845617</v>
      </c>
      <c r="Q29" s="24">
        <v>15</v>
      </c>
      <c r="R29" s="24">
        <v>0</v>
      </c>
      <c r="S29" s="24">
        <f t="shared" si="2"/>
        <v>15</v>
      </c>
      <c r="T29" s="270">
        <f t="shared" si="3"/>
        <v>2.0395325164268424E-2</v>
      </c>
      <c r="U29" s="32">
        <v>2360512</v>
      </c>
      <c r="V29" s="32">
        <v>0</v>
      </c>
      <c r="W29" s="26">
        <f t="shared" si="5"/>
        <v>2360512</v>
      </c>
      <c r="X29" s="24">
        <f t="shared" si="4"/>
        <v>14.7532</v>
      </c>
      <c r="Y29" s="28">
        <f t="shared" si="1"/>
        <v>13639488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17.559355200176903</v>
      </c>
      <c r="Q30" s="24">
        <v>53</v>
      </c>
      <c r="R30" s="24">
        <v>4</v>
      </c>
      <c r="S30" s="24">
        <f t="shared" si="2"/>
        <v>57</v>
      </c>
      <c r="T30" s="270">
        <f t="shared" si="3"/>
        <v>10.008832464100834</v>
      </c>
      <c r="U30" s="32">
        <v>1087490000</v>
      </c>
      <c r="V30" s="32">
        <f>72500000</f>
        <v>72500000</v>
      </c>
      <c r="W30" s="26">
        <f t="shared" si="5"/>
        <v>1159990000</v>
      </c>
      <c r="X30" s="24">
        <f t="shared" si="4"/>
        <v>56.139051822599065</v>
      </c>
      <c r="Y30" s="28">
        <f t="shared" si="1"/>
        <v>906290000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3.3555865411835266</v>
      </c>
      <c r="Q31" s="166">
        <v>30.333333333333332</v>
      </c>
      <c r="R31" s="166">
        <f>SUM(R32:R34)/3</f>
        <v>8.3333333333333339</v>
      </c>
      <c r="S31" s="166">
        <f t="shared" si="2"/>
        <v>38.666666666666664</v>
      </c>
      <c r="T31" s="269">
        <f t="shared" si="3"/>
        <v>1.2974934625909633</v>
      </c>
      <c r="U31" s="168">
        <v>178799747</v>
      </c>
      <c r="V31" s="168">
        <f>SUM(V32:V34)</f>
        <v>30042809</v>
      </c>
      <c r="W31" s="173">
        <f t="shared" si="5"/>
        <v>208842556</v>
      </c>
      <c r="X31" s="166">
        <f t="shared" si="4"/>
        <v>52.889559265330767</v>
      </c>
      <c r="Y31" s="169">
        <f t="shared" si="1"/>
        <v>186022818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0.62128069554351451</v>
      </c>
      <c r="Q32" s="24">
        <v>42</v>
      </c>
      <c r="R32" s="24">
        <v>20</v>
      </c>
      <c r="S32" s="24">
        <f t="shared" si="2"/>
        <v>62</v>
      </c>
      <c r="T32" s="270">
        <f t="shared" si="3"/>
        <v>0.38519403123697898</v>
      </c>
      <c r="U32" s="32">
        <v>30170251</v>
      </c>
      <c r="V32" s="32">
        <v>14546750</v>
      </c>
      <c r="W32" s="26">
        <f t="shared" si="5"/>
        <v>44717001</v>
      </c>
      <c r="X32" s="24">
        <f t="shared" si="4"/>
        <v>61.165172086457673</v>
      </c>
      <c r="Y32" s="28">
        <f t="shared" si="1"/>
        <v>28391599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217" t="s">
        <v>75</v>
      </c>
      <c r="H33" s="218">
        <v>307138696</v>
      </c>
      <c r="I33" s="219" t="s">
        <v>68</v>
      </c>
      <c r="J33" s="220" t="s">
        <v>16</v>
      </c>
      <c r="K33" s="220" t="s">
        <v>17</v>
      </c>
      <c r="L33" s="221"/>
      <c r="M33" s="222"/>
      <c r="N33" s="223"/>
      <c r="O33" s="224"/>
      <c r="P33" s="225">
        <f>H33/H52*100</f>
        <v>2.6100806564372458</v>
      </c>
      <c r="Q33" s="226">
        <v>49</v>
      </c>
      <c r="R33" s="226">
        <v>5</v>
      </c>
      <c r="S33" s="226">
        <f>Q33+R33</f>
        <v>54</v>
      </c>
      <c r="T33" s="327">
        <f t="shared" si="3"/>
        <v>1.4094435544761128</v>
      </c>
      <c r="U33" s="227">
        <v>148629496</v>
      </c>
      <c r="V33" s="227">
        <v>15496059</v>
      </c>
      <c r="W33" s="228">
        <f>U33+V33</f>
        <v>164125555</v>
      </c>
      <c r="X33" s="226">
        <f>W33/H33*100</f>
        <v>53.436951168145875</v>
      </c>
      <c r="Y33" s="229">
        <f>H33-W33</f>
        <v>143013141</v>
      </c>
      <c r="Z33" s="230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312" t="s">
        <v>75</v>
      </c>
      <c r="H34" s="313">
        <v>14618078</v>
      </c>
      <c r="I34" s="314" t="s">
        <v>68</v>
      </c>
      <c r="J34" s="315" t="s">
        <v>16</v>
      </c>
      <c r="K34" s="315" t="s">
        <v>17</v>
      </c>
      <c r="L34" s="316"/>
      <c r="M34" s="317"/>
      <c r="N34" s="318"/>
      <c r="O34" s="319"/>
      <c r="P34" s="320">
        <f>H34/H52*100</f>
        <v>0.12422518920276611</v>
      </c>
      <c r="Q34" s="321">
        <v>0</v>
      </c>
      <c r="R34" s="321">
        <v>0</v>
      </c>
      <c r="S34" s="321">
        <f t="shared" si="2"/>
        <v>0</v>
      </c>
      <c r="T34" s="322">
        <f t="shared" si="3"/>
        <v>0</v>
      </c>
      <c r="U34" s="323">
        <v>0</v>
      </c>
      <c r="V34" s="323">
        <v>0</v>
      </c>
      <c r="W34" s="324">
        <f t="shared" si="5"/>
        <v>0</v>
      </c>
      <c r="X34" s="321">
        <f t="shared" si="4"/>
        <v>0</v>
      </c>
      <c r="Y34" s="325">
        <f t="shared" si="1"/>
        <v>14618078</v>
      </c>
      <c r="Z34" s="326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2642907480.0100002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22.459565597450506</v>
      </c>
      <c r="Q35" s="239">
        <v>35.166666666666664</v>
      </c>
      <c r="R35" s="239">
        <f>(R36+R40+R43)/3</f>
        <v>10.055555555555555</v>
      </c>
      <c r="S35" s="239">
        <f t="shared" si="2"/>
        <v>45.222222222222221</v>
      </c>
      <c r="T35" s="268">
        <f t="shared" si="3"/>
        <v>10.15671466462484</v>
      </c>
      <c r="U35" s="240">
        <v>314589965</v>
      </c>
      <c r="V35" s="241">
        <f>V36+V40+V43</f>
        <v>1327107671</v>
      </c>
      <c r="W35" s="241">
        <f t="shared" si="5"/>
        <v>1641697636</v>
      </c>
      <c r="X35" s="239">
        <f>W35/H35*100</f>
        <v>62.117105816878173</v>
      </c>
      <c r="Y35" s="242">
        <f>H35-W35</f>
        <v>1001209844.0100002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2506664780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21.301768027466409</v>
      </c>
      <c r="Q36" s="166">
        <v>32.5</v>
      </c>
      <c r="R36" s="166">
        <f>SUM(R37:R39)/3</f>
        <v>17.666666666666668</v>
      </c>
      <c r="S36" s="166">
        <f t="shared" si="2"/>
        <v>50.166666666666671</v>
      </c>
      <c r="T36" s="269">
        <f t="shared" si="3"/>
        <v>10.686386960445651</v>
      </c>
      <c r="U36" s="173">
        <v>256843065</v>
      </c>
      <c r="V36" s="173">
        <f>SUM(V37:V39)</f>
        <v>1296682671</v>
      </c>
      <c r="W36" s="173">
        <f t="shared" si="5"/>
        <v>1553525736</v>
      </c>
      <c r="X36" s="166">
        <f>W36/H36*100</f>
        <v>61.97580739136567</v>
      </c>
      <c r="Y36" s="169">
        <f>H36-W36</f>
        <v>953139044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41460500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0.35233349123881297</v>
      </c>
      <c r="Q37" s="24">
        <v>87</v>
      </c>
      <c r="R37" s="24">
        <v>1</v>
      </c>
      <c r="S37" s="24">
        <f>Q37+R37</f>
        <v>88</v>
      </c>
      <c r="T37" s="270">
        <f t="shared" si="3"/>
        <v>0.3100534722901554</v>
      </c>
      <c r="U37" s="32">
        <v>35885445</v>
      </c>
      <c r="V37" s="26">
        <v>375000</v>
      </c>
      <c r="W37" s="26">
        <f>U37+V37</f>
        <v>36260445</v>
      </c>
      <c r="X37" s="24">
        <f>W37/H37*100</f>
        <v>87.457809240120113</v>
      </c>
      <c r="Y37" s="28">
        <f>H37-W37</f>
        <v>5200055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2.3066092994529379E-2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2462490000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20.926368443233066</v>
      </c>
      <c r="Q39" s="24">
        <v>10</v>
      </c>
      <c r="R39" s="24">
        <v>52</v>
      </c>
      <c r="S39" s="24">
        <f t="shared" si="2"/>
        <v>62</v>
      </c>
      <c r="T39" s="270">
        <f t="shared" si="3"/>
        <v>12.974348434804501</v>
      </c>
      <c r="U39" s="32">
        <v>220957620</v>
      </c>
      <c r="V39" s="26">
        <f>1234710000+61597671</f>
        <v>1296307671</v>
      </c>
      <c r="W39" s="26">
        <f t="shared" si="5"/>
        <v>1517265291</v>
      </c>
      <c r="X39" s="24">
        <f>W39/H39*100</f>
        <v>61.615084365824835</v>
      </c>
      <c r="Y39" s="28">
        <f t="shared" si="1"/>
        <v>945224709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1.119811276865645</v>
      </c>
      <c r="Q40" s="166">
        <v>67</v>
      </c>
      <c r="R40" s="166">
        <f>SUM(R41:R42)/2</f>
        <v>12.5</v>
      </c>
      <c r="S40" s="166">
        <f>Q40+R40</f>
        <v>79.5</v>
      </c>
      <c r="T40" s="269">
        <f t="shared" si="3"/>
        <v>0.89024996510818777</v>
      </c>
      <c r="U40" s="168">
        <v>57746900</v>
      </c>
      <c r="V40" s="173">
        <f>SUM(V41:V42)</f>
        <v>30425000</v>
      </c>
      <c r="W40" s="173">
        <f t="shared" si="5"/>
        <v>88171900</v>
      </c>
      <c r="X40" s="166">
        <f t="shared" si="4"/>
        <v>66.912114567971045</v>
      </c>
      <c r="Y40" s="169">
        <f t="shared" si="1"/>
        <v>43600800.010000005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0.11016352187856379</v>
      </c>
      <c r="Q41" s="24">
        <v>95</v>
      </c>
      <c r="R41" s="24">
        <v>0</v>
      </c>
      <c r="S41" s="24">
        <f>Q41+R41</f>
        <v>95</v>
      </c>
      <c r="T41" s="270">
        <f t="shared" si="3"/>
        <v>0.10465534578463559</v>
      </c>
      <c r="U41" s="32">
        <v>12354900</v>
      </c>
      <c r="V41" s="26">
        <v>0</v>
      </c>
      <c r="W41" s="26">
        <f t="shared" si="5"/>
        <v>12354900</v>
      </c>
      <c r="X41" s="24">
        <f t="shared" si="4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1.009647754987081</v>
      </c>
      <c r="Q42" s="24">
        <v>39</v>
      </c>
      <c r="R42" s="24">
        <v>25</v>
      </c>
      <c r="S42" s="24">
        <f>Q42+R42</f>
        <v>64</v>
      </c>
      <c r="T42" s="270">
        <f t="shared" si="3"/>
        <v>0.64617456319173183</v>
      </c>
      <c r="U42" s="32">
        <v>45392000</v>
      </c>
      <c r="V42" s="26">
        <f>30425000</f>
        <v>30425000</v>
      </c>
      <c r="W42" s="26">
        <f t="shared" si="5"/>
        <v>75817000</v>
      </c>
      <c r="X42" s="24">
        <f t="shared" si="4"/>
        <v>63.814019969730481</v>
      </c>
      <c r="Y42" s="28">
        <f t="shared" si="1"/>
        <v>42992315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3.7986293118449949E-2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3.7986293118449949E-2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>
        <v>0</v>
      </c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621395808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5.2806539832805468</v>
      </c>
      <c r="Q45" s="187">
        <v>10.666666666666668</v>
      </c>
      <c r="R45" s="187">
        <f>(R46+R50)/2</f>
        <v>13.166666666666666</v>
      </c>
      <c r="S45" s="187">
        <f t="shared" si="2"/>
        <v>23.833333333333336</v>
      </c>
      <c r="T45" s="268">
        <f t="shared" si="3"/>
        <v>1.2585558660151972</v>
      </c>
      <c r="U45" s="188">
        <v>258787437</v>
      </c>
      <c r="V45" s="189">
        <f>V46+V50</f>
        <v>95327694</v>
      </c>
      <c r="W45" s="189">
        <f t="shared" si="5"/>
        <v>354115131</v>
      </c>
      <c r="X45" s="187">
        <f t="shared" si="4"/>
        <v>56.987048583372477</v>
      </c>
      <c r="Y45" s="190">
        <f t="shared" si="1"/>
        <v>267280677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563318405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4.787109183746689</v>
      </c>
      <c r="Q46" s="166">
        <v>20.333333333333336</v>
      </c>
      <c r="R46" s="166">
        <f>SUM(R47:R49)/3</f>
        <v>26.333333333333332</v>
      </c>
      <c r="S46" s="166">
        <f t="shared" si="2"/>
        <v>46.666666666666671</v>
      </c>
      <c r="T46" s="269">
        <f t="shared" si="3"/>
        <v>2.2339842857484551</v>
      </c>
      <c r="U46" s="168">
        <v>258787437</v>
      </c>
      <c r="V46" s="173">
        <f>SUM(V47:V49)</f>
        <v>95327694</v>
      </c>
      <c r="W46" s="173">
        <f t="shared" si="5"/>
        <v>354115131</v>
      </c>
      <c r="X46" s="166">
        <f t="shared" si="4"/>
        <v>62.862339994021674</v>
      </c>
      <c r="Y46" s="169">
        <f t="shared" si="1"/>
        <v>209203274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443969600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3.7728768146042451</v>
      </c>
      <c r="Q47" s="24">
        <v>59</v>
      </c>
      <c r="R47" s="24">
        <v>1</v>
      </c>
      <c r="S47" s="24">
        <f t="shared" si="2"/>
        <v>60</v>
      </c>
      <c r="T47" s="270">
        <f t="shared" si="3"/>
        <v>2.2637260887625472</v>
      </c>
      <c r="U47" s="26">
        <v>258787437</v>
      </c>
      <c r="V47" s="26">
        <v>2453994</v>
      </c>
      <c r="W47" s="26">
        <f t="shared" si="5"/>
        <v>261241431</v>
      </c>
      <c r="X47" s="24">
        <f t="shared" si="4"/>
        <v>58.842188969695222</v>
      </c>
      <c r="Y47" s="28">
        <f t="shared" si="1"/>
        <v>182728169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291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7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1.014232369142444</v>
      </c>
      <c r="Q49" s="24">
        <v>0</v>
      </c>
      <c r="R49" s="24">
        <v>78</v>
      </c>
      <c r="S49" s="24">
        <f t="shared" si="2"/>
        <v>78</v>
      </c>
      <c r="T49" s="270">
        <f t="shared" si="3"/>
        <v>0.79110124793110626</v>
      </c>
      <c r="U49" s="26">
        <v>0</v>
      </c>
      <c r="V49" s="26">
        <f>92873700</f>
        <v>92873700</v>
      </c>
      <c r="W49" s="26">
        <f t="shared" si="5"/>
        <v>92873700</v>
      </c>
      <c r="X49" s="24">
        <f t="shared" si="4"/>
        <v>77.817033861378007</v>
      </c>
      <c r="Y49" s="28">
        <f t="shared" si="1"/>
        <v>26475105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58077403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0.49354479953385777</v>
      </c>
      <c r="Q50" s="166">
        <v>0</v>
      </c>
      <c r="R50" s="166">
        <f>R51</f>
        <v>0</v>
      </c>
      <c r="S50" s="166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58077403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58077403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0.49354479953385777</v>
      </c>
      <c r="Q51" s="24">
        <v>0</v>
      </c>
      <c r="R51" s="24">
        <v>0</v>
      </c>
      <c r="S51" s="24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58077403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290">
        <f>H15+H35+H45</f>
        <v>11767402484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35.592222222222226</v>
      </c>
      <c r="R52" s="120">
        <f>R14</f>
        <v>9.0518518518518523</v>
      </c>
      <c r="S52" s="120">
        <f>S14</f>
        <v>44.644074074074076</v>
      </c>
      <c r="T52" s="120">
        <f>T14</f>
        <v>44.644074074074076</v>
      </c>
      <c r="U52" s="121">
        <v>5196230607</v>
      </c>
      <c r="V52" s="121">
        <f>V15+V35+V45</f>
        <v>2036692476</v>
      </c>
      <c r="W52" s="121">
        <f t="shared" si="5"/>
        <v>7232923083</v>
      </c>
      <c r="X52" s="122">
        <f t="shared" si="4"/>
        <v>61.465757569136613</v>
      </c>
      <c r="Y52" s="123">
        <f t="shared" si="1"/>
        <v>4534479401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329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F55" s="289">
        <v>509399302</v>
      </c>
      <c r="I55" s="73"/>
      <c r="J55" s="83"/>
      <c r="V55" s="72" t="s">
        <v>140</v>
      </c>
    </row>
    <row r="56" spans="1:26" s="72" customFormat="1" ht="12.95" customHeight="1" x14ac:dyDescent="0.45">
      <c r="F56" s="289">
        <v>1400083700</v>
      </c>
      <c r="H56" s="73"/>
      <c r="I56" s="73"/>
      <c r="T56" s="284"/>
      <c r="V56" s="285"/>
      <c r="W56" s="285"/>
      <c r="X56" s="284"/>
      <c r="Y56" s="286"/>
    </row>
    <row r="57" spans="1:26" s="72" customFormat="1" ht="12.95" customHeight="1" x14ac:dyDescent="0.45">
      <c r="F57" s="289">
        <v>127209474</v>
      </c>
      <c r="I57" s="73"/>
      <c r="O57" s="371"/>
      <c r="P57" s="371"/>
      <c r="V57" s="72" t="s">
        <v>88</v>
      </c>
    </row>
    <row r="58" spans="1:26" s="72" customFormat="1" ht="12.95" customHeight="1" x14ac:dyDescent="0.45">
      <c r="F58" s="289">
        <f>SUM(F55:F57)</f>
        <v>2036692476</v>
      </c>
      <c r="H58" s="330"/>
      <c r="I58" s="73"/>
      <c r="V58" s="72" t="s">
        <v>27</v>
      </c>
    </row>
    <row r="59" spans="1:26" s="72" customFormat="1" ht="12.95" customHeight="1" x14ac:dyDescent="0.45">
      <c r="F59" s="289"/>
      <c r="H59" s="331"/>
      <c r="I59" s="73"/>
    </row>
    <row r="60" spans="1:26" s="72" customFormat="1" ht="12.95" customHeight="1" x14ac:dyDescent="0.45">
      <c r="I60" s="73"/>
      <c r="V60" s="284"/>
      <c r="W60" s="285"/>
      <c r="X60" s="284"/>
      <c r="Y60" s="287"/>
    </row>
    <row r="61" spans="1:26" s="72" customFormat="1" ht="12.95" customHeight="1" x14ac:dyDescent="0.45">
      <c r="I61" s="73"/>
      <c r="V61" s="284"/>
      <c r="W61" s="285"/>
      <c r="X61" s="284"/>
      <c r="Y61" s="284"/>
    </row>
    <row r="62" spans="1:26" s="72" customFormat="1" ht="12.95" customHeight="1" x14ac:dyDescent="0.45">
      <c r="I62" s="73"/>
      <c r="V62" s="284"/>
      <c r="W62" s="285"/>
      <c r="X62" s="284"/>
      <c r="Y62" s="284"/>
    </row>
    <row r="63" spans="1:26" s="72" customFormat="1" ht="12.95" customHeight="1" x14ac:dyDescent="0.45">
      <c r="I63" s="73"/>
      <c r="V63" s="72" t="s">
        <v>89</v>
      </c>
    </row>
    <row r="64" spans="1:26" s="72" customFormat="1" ht="12.95" customHeight="1" x14ac:dyDescent="0.45">
      <c r="I64" s="73"/>
      <c r="V64" s="72" t="s">
        <v>63</v>
      </c>
    </row>
    <row r="65" spans="9:25" s="72" customFormat="1" ht="12.95" customHeight="1" x14ac:dyDescent="0.45">
      <c r="I65" s="73"/>
      <c r="V65" s="72" t="s">
        <v>90</v>
      </c>
    </row>
    <row r="66" spans="9:25" s="72" customFormat="1" ht="15" x14ac:dyDescent="0.45">
      <c r="T66" s="284"/>
      <c r="U66" s="284"/>
      <c r="V66" s="284"/>
      <c r="W66" s="284"/>
      <c r="X66" s="284"/>
      <c r="Y66" s="284"/>
    </row>
    <row r="67" spans="9:25" s="72" customFormat="1" ht="15" x14ac:dyDescent="0.45"/>
  </sheetData>
  <mergeCells count="31"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Y8:Y11"/>
    <mergeCell ref="Z8:Z11"/>
    <mergeCell ref="A9:A11"/>
    <mergeCell ref="B9:B11"/>
    <mergeCell ref="C9:C11"/>
    <mergeCell ref="D9:D11"/>
    <mergeCell ref="U9:X9"/>
    <mergeCell ref="J10:J11"/>
    <mergeCell ref="L8:L11"/>
    <mergeCell ref="M8:M11"/>
    <mergeCell ref="N8:N11"/>
    <mergeCell ref="O8:O11"/>
    <mergeCell ref="P8:P11"/>
    <mergeCell ref="Q8:X8"/>
    <mergeCell ref="K10:K11"/>
    <mergeCell ref="W10:X10"/>
    <mergeCell ref="A12:E12"/>
    <mergeCell ref="F52:G52"/>
    <mergeCell ref="O57:P57"/>
    <mergeCell ref="E9:E11"/>
    <mergeCell ref="Q9:T9"/>
  </mergeCells>
  <printOptions horizontalCentered="1"/>
  <pageMargins left="0.23622047199999999" right="0.2" top="0.4" bottom="0.45" header="0.196850393700787" footer="0.118110236220472"/>
  <pageSetup paperSize="9" scale="6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67"/>
  <sheetViews>
    <sheetView topLeftCell="A20" zoomScale="80" zoomScaleNormal="80" workbookViewId="0">
      <selection activeCell="U27" sqref="U27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59765625" style="1" customWidth="1"/>
    <col min="9" max="9" width="10.1328125" style="1" customWidth="1"/>
    <col min="10" max="10" width="9.1328125" style="1" customWidth="1"/>
    <col min="11" max="11" width="9.73046875" style="1" customWidth="1"/>
    <col min="12" max="12" width="7.86328125" style="1" customWidth="1"/>
    <col min="13" max="13" width="5.73046875" style="1" customWidth="1"/>
    <col min="14" max="14" width="9.1328125" style="1" customWidth="1"/>
    <col min="15" max="15" width="8.1328125" style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141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21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21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12475323501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12475323501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44.644074074074076</v>
      </c>
      <c r="R14" s="133">
        <f>(R15+R35+R45)/3</f>
        <v>6.8777777777777773</v>
      </c>
      <c r="S14" s="133">
        <f>Q14+R14</f>
        <v>51.521851851851856</v>
      </c>
      <c r="T14" s="275">
        <f>(P14*S14)/100</f>
        <v>51.521851851851849</v>
      </c>
      <c r="U14" s="283">
        <v>7232923083</v>
      </c>
      <c r="V14" s="88">
        <f>V15+V35+V45</f>
        <v>885468416</v>
      </c>
      <c r="W14" s="88">
        <f t="shared" ref="W14" si="0">U14+V14</f>
        <v>8118391499</v>
      </c>
      <c r="X14" s="135">
        <f>W14/H14*100</f>
        <v>65.075599028347796</v>
      </c>
      <c r="Y14" s="136">
        <f t="shared" ref="Y14:Y52" si="1">H14-W14</f>
        <v>4356932002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8382971326.9899998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67.196424415912219</v>
      </c>
      <c r="Q15" s="187">
        <v>72.86666666666666</v>
      </c>
      <c r="R15" s="187">
        <f>(R16+R19+R21+R28+R31)/5</f>
        <v>14.133333333333331</v>
      </c>
      <c r="S15" s="187">
        <f t="shared" ref="S15:S51" si="2">Q15+R15</f>
        <v>86.999999999999986</v>
      </c>
      <c r="T15" s="268">
        <f t="shared" ref="T15:T51" si="3">(P15*S15)/100</f>
        <v>58.460889241843624</v>
      </c>
      <c r="U15" s="282">
        <v>5237110316</v>
      </c>
      <c r="V15" s="188">
        <f>V16+V19+V21+V28+V31</f>
        <v>711084916</v>
      </c>
      <c r="W15" s="189">
        <f>U15+V15</f>
        <v>5948195232</v>
      </c>
      <c r="X15" s="187">
        <f t="shared" ref="X15:X52" si="4">W15/H15*100</f>
        <v>70.95569100718572</v>
      </c>
      <c r="Y15" s="190">
        <f t="shared" si="1"/>
        <v>2434776094.9899998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37900009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0.30379980925514277</v>
      </c>
      <c r="Q16" s="166">
        <v>27</v>
      </c>
      <c r="R16" s="166">
        <f>SUM(R17:R18)/2</f>
        <v>31.5</v>
      </c>
      <c r="S16" s="166">
        <f t="shared" si="2"/>
        <v>58.5</v>
      </c>
      <c r="T16" s="269">
        <f t="shared" si="3"/>
        <v>0.17772288841425851</v>
      </c>
      <c r="U16" s="168">
        <v>7174000</v>
      </c>
      <c r="V16" s="168">
        <f>SUM(V17:V18)</f>
        <v>4121000</v>
      </c>
      <c r="W16" s="173">
        <f t="shared" ref="W16:W52" si="5">U16+V16</f>
        <v>11295000</v>
      </c>
      <c r="X16" s="166">
        <f t="shared" si="4"/>
        <v>29.802103740925233</v>
      </c>
      <c r="Y16" s="169">
        <f t="shared" si="1"/>
        <v>26605009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31390000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0.25161672158228066</v>
      </c>
      <c r="Q17" s="24">
        <v>54</v>
      </c>
      <c r="R17" s="24">
        <v>0</v>
      </c>
      <c r="S17" s="24">
        <f t="shared" si="2"/>
        <v>54</v>
      </c>
      <c r="T17" s="270">
        <f t="shared" si="3"/>
        <v>0.13587302965443157</v>
      </c>
      <c r="U17" s="26">
        <v>7174000</v>
      </c>
      <c r="V17" s="26">
        <v>0</v>
      </c>
      <c r="W17" s="27">
        <f t="shared" si="5"/>
        <v>7174000</v>
      </c>
      <c r="X17" s="24">
        <f t="shared" si="4"/>
        <v>22.854412233195283</v>
      </c>
      <c r="Y17" s="28">
        <f t="shared" si="1"/>
        <v>24216000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5.2183087672862102E-2</v>
      </c>
      <c r="Q18" s="24">
        <v>0</v>
      </c>
      <c r="R18" s="24">
        <v>63</v>
      </c>
      <c r="S18" s="24">
        <f>Q18+R18</f>
        <v>63</v>
      </c>
      <c r="T18" s="270">
        <f t="shared" si="3"/>
        <v>3.2875345233903126E-2</v>
      </c>
      <c r="U18" s="26">
        <v>0</v>
      </c>
      <c r="V18" s="26">
        <v>4121000</v>
      </c>
      <c r="W18" s="27">
        <f t="shared" si="5"/>
        <v>4121000</v>
      </c>
      <c r="X18" s="24">
        <f>W18/H18*100</f>
        <v>63.302523852117567</v>
      </c>
      <c r="Y18" s="28">
        <f>H18-W18</f>
        <v>2389009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5997728736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48.076739136417842</v>
      </c>
      <c r="Q19" s="166">
        <v>73</v>
      </c>
      <c r="R19" s="166">
        <f>R20</f>
        <v>6</v>
      </c>
      <c r="S19" s="166">
        <f t="shared" si="2"/>
        <v>79</v>
      </c>
      <c r="T19" s="269">
        <f t="shared" si="3"/>
        <v>37.980623917770096</v>
      </c>
      <c r="U19" s="168">
        <v>3749382064</v>
      </c>
      <c r="V19" s="168">
        <f>SUM(V20)</f>
        <v>510670335</v>
      </c>
      <c r="W19" s="168">
        <f t="shared" si="5"/>
        <v>4260052399</v>
      </c>
      <c r="X19" s="166">
        <f t="shared" si="4"/>
        <v>71.027760449218164</v>
      </c>
      <c r="Y19" s="169">
        <f t="shared" si="1"/>
        <v>1737676337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5997728736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48.076739136417842</v>
      </c>
      <c r="Q20" s="24">
        <v>65</v>
      </c>
      <c r="R20" s="24">
        <v>6</v>
      </c>
      <c r="S20" s="24">
        <f t="shared" si="2"/>
        <v>71</v>
      </c>
      <c r="T20" s="270">
        <f t="shared" si="3"/>
        <v>34.134484786856667</v>
      </c>
      <c r="U20" s="32">
        <v>3749382064</v>
      </c>
      <c r="V20" s="26">
        <f>510670335</f>
        <v>510670335</v>
      </c>
      <c r="W20" s="26">
        <f t="shared" si="5"/>
        <v>4260052399</v>
      </c>
      <c r="X20" s="24">
        <f t="shared" si="4"/>
        <v>71.027760449218164</v>
      </c>
      <c r="Y20" s="28">
        <f t="shared" si="1"/>
        <v>1737676337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401087207.99000001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3.2150445474047191</v>
      </c>
      <c r="Q21" s="166">
        <v>40.333333333333336</v>
      </c>
      <c r="R21" s="166">
        <f>SUM(R22:R27)/6</f>
        <v>9.6666666666666661</v>
      </c>
      <c r="S21" s="166">
        <f t="shared" si="2"/>
        <v>50</v>
      </c>
      <c r="T21" s="269">
        <f t="shared" si="3"/>
        <v>1.6075222737023593</v>
      </c>
      <c r="U21" s="168">
        <v>109361184</v>
      </c>
      <c r="V21" s="168">
        <f>SUM(V22:V27)</f>
        <v>61802320</v>
      </c>
      <c r="W21" s="173">
        <f t="shared" si="5"/>
        <v>171163504</v>
      </c>
      <c r="X21" s="166">
        <f>W21/H21*100</f>
        <v>42.674884810653815</v>
      </c>
      <c r="Y21" s="169">
        <f t="shared" si="1"/>
        <v>229923703.99000001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3.1008013537203422E-2</v>
      </c>
      <c r="Q22" s="24">
        <v>50</v>
      </c>
      <c r="R22" s="24">
        <v>0</v>
      </c>
      <c r="S22" s="24">
        <f t="shared" si="2"/>
        <v>50</v>
      </c>
      <c r="T22" s="270">
        <f t="shared" si="3"/>
        <v>1.5504006768601711E-2</v>
      </c>
      <c r="U22" s="32">
        <v>1927400</v>
      </c>
      <c r="V22" s="32">
        <v>0</v>
      </c>
      <c r="W22" s="26">
        <f t="shared" si="5"/>
        <v>1927400</v>
      </c>
      <c r="X22" s="24">
        <f t="shared" si="4"/>
        <v>49.824860728734471</v>
      </c>
      <c r="Y22" s="28">
        <f t="shared" si="1"/>
        <v>1940950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159933628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1.2819998454323049</v>
      </c>
      <c r="Q23" s="24">
        <v>34</v>
      </c>
      <c r="R23" s="24">
        <v>1</v>
      </c>
      <c r="S23" s="24">
        <f t="shared" si="2"/>
        <v>35</v>
      </c>
      <c r="T23" s="270">
        <f t="shared" si="3"/>
        <v>0.44869994590130674</v>
      </c>
      <c r="U23" s="32">
        <v>22010550</v>
      </c>
      <c r="V23" s="32">
        <v>10456300</v>
      </c>
      <c r="W23" s="26">
        <f t="shared" si="5"/>
        <v>32466850</v>
      </c>
      <c r="X23" s="24">
        <f t="shared" si="4"/>
        <v>20.300202281411387</v>
      </c>
      <c r="Y23" s="28">
        <f t="shared" si="1"/>
        <v>127466778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7.865703842640577E-2</v>
      </c>
      <c r="Q24" s="24">
        <v>42</v>
      </c>
      <c r="R24" s="24">
        <v>18</v>
      </c>
      <c r="S24" s="24">
        <f t="shared" si="2"/>
        <v>60</v>
      </c>
      <c r="T24" s="270">
        <f t="shared" si="3"/>
        <v>4.7194223055843462E-2</v>
      </c>
      <c r="U24" s="32">
        <v>4109600</v>
      </c>
      <c r="V24" s="32">
        <v>1809800</v>
      </c>
      <c r="W24" s="26">
        <f t="shared" si="5"/>
        <v>5919400</v>
      </c>
      <c r="X24" s="24">
        <f t="shared" si="4"/>
        <v>60.323743060028214</v>
      </c>
      <c r="Y24" s="28">
        <f t="shared" si="1"/>
        <v>3893320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5.4167012097588736E-2</v>
      </c>
      <c r="Q25" s="24">
        <v>36</v>
      </c>
      <c r="R25" s="24">
        <v>38</v>
      </c>
      <c r="S25" s="24">
        <f t="shared" si="2"/>
        <v>74</v>
      </c>
      <c r="T25" s="270">
        <f t="shared" si="3"/>
        <v>4.0083588952215664E-2</v>
      </c>
      <c r="U25" s="32">
        <v>2394000</v>
      </c>
      <c r="V25" s="32">
        <v>2576000</v>
      </c>
      <c r="W25" s="26">
        <f t="shared" si="5"/>
        <v>4970000</v>
      </c>
      <c r="X25" s="24">
        <f t="shared" si="4"/>
        <v>73.54780099999526</v>
      </c>
      <c r="Y25" s="54">
        <f t="shared" si="1"/>
        <v>1787509.9900000002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5.9573605441207711E-2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213283000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1.7096390324700086</v>
      </c>
      <c r="Q27" s="24">
        <v>80</v>
      </c>
      <c r="R27" s="24">
        <v>1</v>
      </c>
      <c r="S27" s="24">
        <f t="shared" si="2"/>
        <v>81</v>
      </c>
      <c r="T27" s="270">
        <f t="shared" si="3"/>
        <v>1.384807616300707</v>
      </c>
      <c r="U27" s="32">
        <v>78919634</v>
      </c>
      <c r="V27" s="26">
        <v>46960220</v>
      </c>
      <c r="W27" s="26">
        <f t="shared" si="5"/>
        <v>125879854</v>
      </c>
      <c r="X27" s="24">
        <f t="shared" si="4"/>
        <v>59.020106618905402</v>
      </c>
      <c r="Y27" s="28">
        <f t="shared" si="1"/>
        <v>87403146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1499415000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12.019047040181439</v>
      </c>
      <c r="Q28" s="166">
        <v>36</v>
      </c>
      <c r="R28" s="166">
        <f>SUM(R29:R30)/2</f>
        <v>13.5</v>
      </c>
      <c r="S28" s="166">
        <f t="shared" si="2"/>
        <v>49.5</v>
      </c>
      <c r="T28" s="269">
        <f t="shared" si="3"/>
        <v>5.9494282848898123</v>
      </c>
      <c r="U28" s="168">
        <v>1162350512</v>
      </c>
      <c r="V28" s="168">
        <f>SUM(V29:V30)</f>
        <v>90920000</v>
      </c>
      <c r="W28" s="173">
        <f t="shared" si="5"/>
        <v>1253270512</v>
      </c>
      <c r="X28" s="166">
        <f t="shared" si="4"/>
        <v>83.583965213099773</v>
      </c>
      <c r="Y28" s="169">
        <f t="shared" si="1"/>
        <v>246144488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10205000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8.1801485942885457E-2</v>
      </c>
      <c r="Q29" s="24">
        <v>15</v>
      </c>
      <c r="R29" s="24">
        <v>0</v>
      </c>
      <c r="S29" s="24">
        <f t="shared" si="2"/>
        <v>15</v>
      </c>
      <c r="T29" s="270">
        <f t="shared" si="3"/>
        <v>1.2270222891432819E-2</v>
      </c>
      <c r="U29" s="32">
        <v>2360512</v>
      </c>
      <c r="V29" s="32">
        <v>0</v>
      </c>
      <c r="W29" s="26">
        <f t="shared" si="5"/>
        <v>2360512</v>
      </c>
      <c r="X29" s="24">
        <f t="shared" si="4"/>
        <v>23.130935815776578</v>
      </c>
      <c r="Y29" s="28">
        <f t="shared" si="1"/>
        <v>7844488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1489210000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11.937245554238554</v>
      </c>
      <c r="Q30" s="24">
        <v>57</v>
      </c>
      <c r="R30" s="24">
        <v>27</v>
      </c>
      <c r="S30" s="24">
        <f t="shared" si="2"/>
        <v>84</v>
      </c>
      <c r="T30" s="270">
        <f t="shared" si="3"/>
        <v>10.027286265560384</v>
      </c>
      <c r="U30" s="32">
        <v>1159990000</v>
      </c>
      <c r="V30" s="32">
        <v>90920000</v>
      </c>
      <c r="W30" s="26">
        <f t="shared" si="5"/>
        <v>1250910000</v>
      </c>
      <c r="X30" s="24">
        <f t="shared" si="4"/>
        <v>83.998227248003971</v>
      </c>
      <c r="Y30" s="28">
        <f t="shared" si="1"/>
        <v>238300000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446840374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3.5817938826530797</v>
      </c>
      <c r="Q31" s="166">
        <v>38.666666666666664</v>
      </c>
      <c r="R31" s="166">
        <f>SUM(R32:R34)/3</f>
        <v>10</v>
      </c>
      <c r="S31" s="166">
        <f t="shared" si="2"/>
        <v>48.666666666666664</v>
      </c>
      <c r="T31" s="269">
        <f t="shared" si="3"/>
        <v>1.7431396895578319</v>
      </c>
      <c r="U31" s="168">
        <v>208842556</v>
      </c>
      <c r="V31" s="168">
        <f>SUM(V32:V34)</f>
        <v>43571261</v>
      </c>
      <c r="W31" s="173">
        <f t="shared" si="5"/>
        <v>252413817</v>
      </c>
      <c r="X31" s="166">
        <f t="shared" si="4"/>
        <v>56.488587801602733</v>
      </c>
      <c r="Y31" s="169">
        <f t="shared" si="1"/>
        <v>194426557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0.58602568497834739</v>
      </c>
      <c r="Q32" s="24">
        <v>62</v>
      </c>
      <c r="R32" s="24">
        <v>2</v>
      </c>
      <c r="S32" s="24">
        <f t="shared" si="2"/>
        <v>64</v>
      </c>
      <c r="T32" s="270">
        <f t="shared" si="3"/>
        <v>0.37505643838614233</v>
      </c>
      <c r="U32" s="32">
        <v>44717001</v>
      </c>
      <c r="V32" s="32">
        <v>2392706</v>
      </c>
      <c r="W32" s="26">
        <f t="shared" si="5"/>
        <v>47109707</v>
      </c>
      <c r="X32" s="24">
        <f t="shared" si="4"/>
        <v>64.437982672353186</v>
      </c>
      <c r="Y32" s="28">
        <f t="shared" si="1"/>
        <v>25998893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217" t="s">
        <v>75</v>
      </c>
      <c r="H33" s="218">
        <v>359113696</v>
      </c>
      <c r="I33" s="219" t="s">
        <v>68</v>
      </c>
      <c r="J33" s="220" t="s">
        <v>16</v>
      </c>
      <c r="K33" s="220" t="s">
        <v>17</v>
      </c>
      <c r="L33" s="221"/>
      <c r="M33" s="222"/>
      <c r="N33" s="223"/>
      <c r="O33" s="224"/>
      <c r="P33" s="225">
        <f>H33/H52*100</f>
        <v>2.8785922543107927</v>
      </c>
      <c r="Q33" s="226">
        <v>54</v>
      </c>
      <c r="R33" s="226">
        <v>2</v>
      </c>
      <c r="S33" s="226">
        <f>Q33+R33</f>
        <v>56</v>
      </c>
      <c r="T33" s="327">
        <f t="shared" si="3"/>
        <v>1.6120116624140439</v>
      </c>
      <c r="U33" s="227">
        <v>164125555</v>
      </c>
      <c r="V33" s="227">
        <v>37404555</v>
      </c>
      <c r="W33" s="228">
        <f>U33+V33</f>
        <v>201530110</v>
      </c>
      <c r="X33" s="226">
        <f>W33/H33*100</f>
        <v>56.118747974457648</v>
      </c>
      <c r="Y33" s="229">
        <f>H33-W33</f>
        <v>157583586</v>
      </c>
      <c r="Z33" s="230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312" t="s">
        <v>75</v>
      </c>
      <c r="H34" s="313">
        <v>14618078</v>
      </c>
      <c r="I34" s="314" t="s">
        <v>68</v>
      </c>
      <c r="J34" s="315" t="s">
        <v>16</v>
      </c>
      <c r="K34" s="315" t="s">
        <v>17</v>
      </c>
      <c r="L34" s="316"/>
      <c r="M34" s="317"/>
      <c r="N34" s="318"/>
      <c r="O34" s="319"/>
      <c r="P34" s="320">
        <f>H34/H52*100</f>
        <v>0.11717594336393955</v>
      </c>
      <c r="Q34" s="321">
        <v>0</v>
      </c>
      <c r="R34" s="321">
        <v>26</v>
      </c>
      <c r="S34" s="321">
        <f t="shared" si="2"/>
        <v>26</v>
      </c>
      <c r="T34" s="322">
        <f t="shared" si="3"/>
        <v>3.0465745274624281E-2</v>
      </c>
      <c r="U34" s="323">
        <v>0</v>
      </c>
      <c r="V34" s="323">
        <v>3774000</v>
      </c>
      <c r="W34" s="324">
        <f t="shared" si="5"/>
        <v>3774000</v>
      </c>
      <c r="X34" s="321">
        <f t="shared" si="4"/>
        <v>25.81734753364977</v>
      </c>
      <c r="Y34" s="325">
        <f t="shared" si="1"/>
        <v>10844078</v>
      </c>
      <c r="Z34" s="326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2767443769.0100002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22.183342730857174</v>
      </c>
      <c r="Q35" s="239">
        <v>45.222222222222221</v>
      </c>
      <c r="R35" s="239">
        <f>(R36+R40+R43)/3</f>
        <v>0.83333333333333337</v>
      </c>
      <c r="S35" s="239">
        <f t="shared" si="2"/>
        <v>46.055555555555557</v>
      </c>
      <c r="T35" s="268">
        <f t="shared" si="3"/>
        <v>10.21666173548922</v>
      </c>
      <c r="U35" s="240">
        <v>1641697636</v>
      </c>
      <c r="V35" s="241">
        <f>V36+V40+V43</f>
        <v>64441000</v>
      </c>
      <c r="W35" s="241">
        <f t="shared" si="5"/>
        <v>1706138636</v>
      </c>
      <c r="X35" s="239">
        <f>W35/H35*100</f>
        <v>61.650345170711027</v>
      </c>
      <c r="Y35" s="242">
        <f>H35-W35</f>
        <v>1061305133.0100002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2424044780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19.430716805104836</v>
      </c>
      <c r="Q36" s="166">
        <v>50.166666666666671</v>
      </c>
      <c r="R36" s="166">
        <f>SUM(R37:R39)/3</f>
        <v>2</v>
      </c>
      <c r="S36" s="166">
        <f t="shared" si="2"/>
        <v>52.166666666666671</v>
      </c>
      <c r="T36" s="269">
        <f t="shared" si="3"/>
        <v>10.136357266663024</v>
      </c>
      <c r="U36" s="173">
        <v>1553525736</v>
      </c>
      <c r="V36" s="173">
        <f>SUM(V37:V39)</f>
        <v>63077000</v>
      </c>
      <c r="W36" s="173">
        <f t="shared" si="5"/>
        <v>1616602736</v>
      </c>
      <c r="X36" s="166">
        <f>W36/H36*100</f>
        <v>66.690300003451256</v>
      </c>
      <c r="Y36" s="169">
        <f>H36-W36</f>
        <v>807442044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0.65297304709950221</v>
      </c>
      <c r="Q37" s="24">
        <v>88</v>
      </c>
      <c r="R37" s="24">
        <v>1</v>
      </c>
      <c r="S37" s="24">
        <f>Q37+R37</f>
        <v>89</v>
      </c>
      <c r="T37" s="270">
        <f t="shared" si="3"/>
        <v>0.58114601191855697</v>
      </c>
      <c r="U37" s="32">
        <v>36260445</v>
      </c>
      <c r="V37" s="26">
        <v>4463000</v>
      </c>
      <c r="W37" s="26">
        <f>U37+V37</f>
        <v>40723445</v>
      </c>
      <c r="X37" s="24">
        <f>W37/H37*100</f>
        <v>49.991646258002341</v>
      </c>
      <c r="Y37" s="28">
        <f>H37-W37</f>
        <v>40737055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2.1757191304757974E-2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2339870000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18.755986566700575</v>
      </c>
      <c r="Q39" s="24">
        <v>62</v>
      </c>
      <c r="R39" s="24">
        <v>5</v>
      </c>
      <c r="S39" s="24">
        <f t="shared" si="2"/>
        <v>67</v>
      </c>
      <c r="T39" s="270">
        <f t="shared" si="3"/>
        <v>12.566510999689385</v>
      </c>
      <c r="U39" s="32">
        <v>1517265291</v>
      </c>
      <c r="V39" s="26">
        <f>36800000+21814000</f>
        <v>58614000</v>
      </c>
      <c r="W39" s="26">
        <f t="shared" si="5"/>
        <v>1575879291</v>
      </c>
      <c r="X39" s="24">
        <f>W39/H39*100</f>
        <v>67.349010457845949</v>
      </c>
      <c r="Y39" s="28">
        <f t="shared" si="1"/>
        <v>763990709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338928989.00999999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2.7167951915862703</v>
      </c>
      <c r="Q40" s="166">
        <v>79.5</v>
      </c>
      <c r="R40" s="166">
        <f>SUM(R41:R42)/2</f>
        <v>0.5</v>
      </c>
      <c r="S40" s="166">
        <f>Q40+R40</f>
        <v>80</v>
      </c>
      <c r="T40" s="269">
        <f t="shared" si="3"/>
        <v>2.1734361532690163</v>
      </c>
      <c r="U40" s="168">
        <v>88171900</v>
      </c>
      <c r="V40" s="173">
        <f>SUM(V41:V42)</f>
        <v>1364000</v>
      </c>
      <c r="W40" s="173">
        <f t="shared" si="5"/>
        <v>89535900</v>
      </c>
      <c r="X40" s="166">
        <f t="shared" si="4"/>
        <v>26.417303595520497</v>
      </c>
      <c r="Y40" s="169">
        <f t="shared" si="1"/>
        <v>249393089.00999999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0.10391221525406437</v>
      </c>
      <c r="Q41" s="24">
        <v>95</v>
      </c>
      <c r="R41" s="24">
        <v>0</v>
      </c>
      <c r="S41" s="24">
        <f>Q41+R41</f>
        <v>95</v>
      </c>
      <c r="T41" s="270">
        <f t="shared" si="3"/>
        <v>9.871660449136116E-2</v>
      </c>
      <c r="U41" s="32">
        <v>12354900</v>
      </c>
      <c r="V41" s="26">
        <v>0</v>
      </c>
      <c r="W41" s="26">
        <f t="shared" si="5"/>
        <v>12354900</v>
      </c>
      <c r="X41" s="24">
        <f t="shared" si="4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325965604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2.6128829763322066</v>
      </c>
      <c r="Q42" s="24">
        <v>64</v>
      </c>
      <c r="R42" s="24">
        <v>1</v>
      </c>
      <c r="S42" s="24">
        <f>Q42+R42</f>
        <v>65</v>
      </c>
      <c r="T42" s="270">
        <f t="shared" si="3"/>
        <v>1.6983739346159341</v>
      </c>
      <c r="U42" s="32">
        <v>75817000</v>
      </c>
      <c r="V42" s="26">
        <v>1364000</v>
      </c>
      <c r="W42" s="26">
        <f t="shared" si="5"/>
        <v>77181000</v>
      </c>
      <c r="X42" s="24">
        <f t="shared" si="4"/>
        <v>23.67765158436778</v>
      </c>
      <c r="Y42" s="28">
        <f t="shared" si="1"/>
        <v>248784604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3.5830734166065456E-2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3.5830734166065456E-2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>
        <v>0</v>
      </c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1324908405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10.620232853230601</v>
      </c>
      <c r="Q45" s="187">
        <v>23.833333333333336</v>
      </c>
      <c r="R45" s="187">
        <f>(R46+R50)/2</f>
        <v>5.666666666666667</v>
      </c>
      <c r="S45" s="187">
        <f t="shared" si="2"/>
        <v>29.500000000000004</v>
      </c>
      <c r="T45" s="268">
        <f t="shared" si="3"/>
        <v>3.1329686917030273</v>
      </c>
      <c r="U45" s="188">
        <v>354115131</v>
      </c>
      <c r="V45" s="189">
        <f>V46+V50</f>
        <v>109942500</v>
      </c>
      <c r="W45" s="189">
        <f t="shared" si="5"/>
        <v>464057631</v>
      </c>
      <c r="X45" s="187">
        <f t="shared" si="4"/>
        <v>35.025638696887881</v>
      </c>
      <c r="Y45" s="190">
        <f t="shared" si="1"/>
        <v>860850774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829908405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6.6523998751092588</v>
      </c>
      <c r="Q46" s="166">
        <v>46.666666666666671</v>
      </c>
      <c r="R46" s="166">
        <f>SUM(R47:R49)/3</f>
        <v>0.33333333333333331</v>
      </c>
      <c r="S46" s="166">
        <f t="shared" si="2"/>
        <v>47.000000000000007</v>
      </c>
      <c r="T46" s="269">
        <f t="shared" si="3"/>
        <v>3.126627941301352</v>
      </c>
      <c r="U46" s="168">
        <v>354115131</v>
      </c>
      <c r="V46" s="173">
        <f>SUM(V47:V49)</f>
        <v>55684000</v>
      </c>
      <c r="W46" s="173">
        <f t="shared" si="5"/>
        <v>409799131</v>
      </c>
      <c r="X46" s="166">
        <f t="shared" si="4"/>
        <v>49.378838499653469</v>
      </c>
      <c r="Y46" s="169">
        <f t="shared" si="1"/>
        <v>420109274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710559600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5.6957208359610298</v>
      </c>
      <c r="Q47" s="24">
        <v>60</v>
      </c>
      <c r="R47" s="24">
        <v>1</v>
      </c>
      <c r="S47" s="24">
        <f t="shared" si="2"/>
        <v>61</v>
      </c>
      <c r="T47" s="270">
        <f t="shared" si="3"/>
        <v>3.4743897099362284</v>
      </c>
      <c r="U47" s="26">
        <v>261241431</v>
      </c>
      <c r="V47" s="26">
        <f>51300000+4384000</f>
        <v>55684000</v>
      </c>
      <c r="W47" s="26">
        <f t="shared" si="5"/>
        <v>316925431</v>
      </c>
      <c r="X47" s="24">
        <f t="shared" si="4"/>
        <v>44.602230551807338</v>
      </c>
      <c r="Y47" s="28">
        <f t="shared" si="1"/>
        <v>393634169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291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7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0.95667903914822894</v>
      </c>
      <c r="Q49" s="24">
        <v>78</v>
      </c>
      <c r="R49" s="24">
        <v>0</v>
      </c>
      <c r="S49" s="24">
        <f t="shared" si="2"/>
        <v>78</v>
      </c>
      <c r="T49" s="270">
        <f t="shared" si="3"/>
        <v>0.74620965053561861</v>
      </c>
      <c r="U49" s="26">
        <v>92873700</v>
      </c>
      <c r="V49" s="26">
        <v>0</v>
      </c>
      <c r="W49" s="26">
        <f t="shared" si="5"/>
        <v>92873700</v>
      </c>
      <c r="X49" s="24">
        <f t="shared" si="4"/>
        <v>77.817033861378007</v>
      </c>
      <c r="Y49" s="28">
        <f t="shared" si="1"/>
        <v>26475105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495000000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3.9678329781213426</v>
      </c>
      <c r="Q50" s="166">
        <v>0</v>
      </c>
      <c r="R50" s="166">
        <f>R51</f>
        <v>11</v>
      </c>
      <c r="S50" s="166">
        <f t="shared" si="2"/>
        <v>11</v>
      </c>
      <c r="T50" s="269">
        <f t="shared" si="3"/>
        <v>0.43646162759334772</v>
      </c>
      <c r="U50" s="168">
        <v>0</v>
      </c>
      <c r="V50" s="173">
        <f>SUM(V51)</f>
        <v>54258500</v>
      </c>
      <c r="W50" s="173">
        <f t="shared" si="5"/>
        <v>54258500</v>
      </c>
      <c r="X50" s="166">
        <f t="shared" si="4"/>
        <v>10.961313131313132</v>
      </c>
      <c r="Y50" s="169">
        <f t="shared" si="1"/>
        <v>440741500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495000000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3.9678329781213426</v>
      </c>
      <c r="Q51" s="24">
        <v>0</v>
      </c>
      <c r="R51" s="24">
        <v>11</v>
      </c>
      <c r="S51" s="24">
        <f t="shared" si="2"/>
        <v>11</v>
      </c>
      <c r="T51" s="270">
        <f t="shared" si="3"/>
        <v>0.43646162759334772</v>
      </c>
      <c r="U51" s="26">
        <v>0</v>
      </c>
      <c r="V51" s="26">
        <v>54258500</v>
      </c>
      <c r="W51" s="26">
        <f t="shared" si="5"/>
        <v>54258500</v>
      </c>
      <c r="X51" s="24">
        <f t="shared" si="4"/>
        <v>10.961313131313132</v>
      </c>
      <c r="Y51" s="28">
        <f t="shared" si="1"/>
        <v>440741500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290">
        <f>H15+H35+H45</f>
        <v>12475323501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44.644074074074076</v>
      </c>
      <c r="R52" s="120">
        <f>R14</f>
        <v>6.8777777777777773</v>
      </c>
      <c r="S52" s="120">
        <f>S14</f>
        <v>51.521851851851856</v>
      </c>
      <c r="T52" s="120">
        <f>T14</f>
        <v>51.521851851851849</v>
      </c>
      <c r="U52" s="121">
        <v>7232923083</v>
      </c>
      <c r="V52" s="121">
        <f>V15+V35+V45</f>
        <v>885468416</v>
      </c>
      <c r="W52" s="121">
        <f t="shared" si="5"/>
        <v>8118391499</v>
      </c>
      <c r="X52" s="122">
        <f t="shared" si="4"/>
        <v>65.075599028347796</v>
      </c>
      <c r="Y52" s="123">
        <f t="shared" si="1"/>
        <v>4356932002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329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F55" s="289">
        <v>510670335</v>
      </c>
      <c r="I55" s="73"/>
      <c r="J55" s="83"/>
      <c r="V55" s="72" t="s">
        <v>142</v>
      </c>
    </row>
    <row r="56" spans="1:26" s="72" customFormat="1" ht="15" customHeight="1" x14ac:dyDescent="0.45">
      <c r="F56" s="332">
        <v>179020000</v>
      </c>
      <c r="H56" s="73"/>
      <c r="I56" s="73"/>
      <c r="T56" s="284"/>
      <c r="V56" s="285"/>
      <c r="W56" s="285"/>
      <c r="X56" s="284"/>
      <c r="Y56" s="286"/>
    </row>
    <row r="57" spans="1:26" s="72" customFormat="1" ht="15" customHeight="1" x14ac:dyDescent="0.45">
      <c r="F57" s="332">
        <v>195778081</v>
      </c>
      <c r="I57" s="73"/>
      <c r="O57" s="371"/>
      <c r="P57" s="371"/>
      <c r="V57" s="72" t="s">
        <v>88</v>
      </c>
    </row>
    <row r="58" spans="1:26" s="72" customFormat="1" ht="15" customHeight="1" x14ac:dyDescent="0.45">
      <c r="F58" s="332">
        <f>SUM(F55:F57)</f>
        <v>885468416</v>
      </c>
      <c r="H58" s="330"/>
      <c r="I58" s="73"/>
      <c r="V58" s="72" t="s">
        <v>27</v>
      </c>
    </row>
    <row r="59" spans="1:26" s="72" customFormat="1" ht="15" customHeight="1" x14ac:dyDescent="0.45">
      <c r="F59" s="333"/>
      <c r="H59" s="331"/>
      <c r="I59" s="73"/>
    </row>
    <row r="60" spans="1:26" s="72" customFormat="1" ht="15" customHeight="1" x14ac:dyDescent="0.45">
      <c r="I60" s="73"/>
      <c r="V60" s="284"/>
      <c r="W60" s="285"/>
      <c r="X60" s="284"/>
      <c r="Y60" s="287"/>
    </row>
    <row r="61" spans="1:26" s="72" customFormat="1" ht="15" customHeight="1" x14ac:dyDescent="0.45">
      <c r="I61" s="73"/>
      <c r="V61" s="284"/>
      <c r="W61" s="285"/>
      <c r="X61" s="284"/>
      <c r="Y61" s="284"/>
    </row>
    <row r="62" spans="1:26" s="72" customFormat="1" ht="15" customHeight="1" x14ac:dyDescent="0.45">
      <c r="I62" s="73"/>
      <c r="V62" s="284"/>
      <c r="W62" s="285"/>
      <c r="X62" s="284"/>
      <c r="Y62" s="284"/>
    </row>
    <row r="63" spans="1:26" s="72" customFormat="1" ht="15" customHeight="1" x14ac:dyDescent="0.45">
      <c r="I63" s="73"/>
      <c r="V63" s="72" t="s">
        <v>89</v>
      </c>
    </row>
    <row r="64" spans="1:26" s="72" customFormat="1" ht="15" customHeight="1" x14ac:dyDescent="0.45">
      <c r="I64" s="73"/>
      <c r="V64" s="72" t="s">
        <v>63</v>
      </c>
    </row>
    <row r="65" spans="9:25" s="72" customFormat="1" ht="15" customHeight="1" x14ac:dyDescent="0.45">
      <c r="I65" s="73"/>
      <c r="V65" s="72" t="s">
        <v>90</v>
      </c>
    </row>
    <row r="66" spans="9:25" s="72" customFormat="1" ht="15" x14ac:dyDescent="0.45">
      <c r="T66" s="284"/>
      <c r="U66" s="284"/>
      <c r="V66" s="284"/>
      <c r="W66" s="284"/>
      <c r="X66" s="284"/>
      <c r="Y66" s="284"/>
    </row>
    <row r="67" spans="9:25" s="72" customFormat="1" ht="15" x14ac:dyDescent="0.45"/>
  </sheetData>
  <mergeCells count="31">
    <mergeCell ref="A12:E12"/>
    <mergeCell ref="F52:G52"/>
    <mergeCell ref="O57:P57"/>
    <mergeCell ref="E9:E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K10:K11"/>
    <mergeCell ref="W10:X10"/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Y8:Y11"/>
    <mergeCell ref="Z8:Z11"/>
    <mergeCell ref="A9:A11"/>
    <mergeCell ref="B9:B11"/>
    <mergeCell ref="C9:C11"/>
    <mergeCell ref="D9:D11"/>
  </mergeCells>
  <pageMargins left="0.22" right="0.11811023622047245" top="0.18" bottom="0.15748031496062992" header="0.31496062992125984" footer="0.11811023622047245"/>
  <pageSetup paperSize="9" scale="59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67"/>
  <sheetViews>
    <sheetView topLeftCell="A2" zoomScale="70" zoomScaleNormal="70" workbookViewId="0">
      <selection activeCell="W27" sqref="W27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59765625" style="1" customWidth="1"/>
    <col min="9" max="9" width="10.1328125" style="1" customWidth="1"/>
    <col min="10" max="10" width="9.1328125" style="1" customWidth="1"/>
    <col min="11" max="11" width="9.73046875" style="1" customWidth="1"/>
    <col min="12" max="12" width="7.86328125" style="1" customWidth="1"/>
    <col min="13" max="13" width="5.73046875" style="1" customWidth="1"/>
    <col min="14" max="14" width="9.1328125" style="1" customWidth="1"/>
    <col min="15" max="15" width="8.1328125" style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143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21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21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12475323501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12475323501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51.577407407407406</v>
      </c>
      <c r="R14" s="133">
        <f>(R15+R35+R45)/3</f>
        <v>3.0888888888888886</v>
      </c>
      <c r="S14" s="133">
        <f>Q14+R14</f>
        <v>54.666296296296295</v>
      </c>
      <c r="T14" s="275">
        <f>(P14*S14)/100</f>
        <v>54.666296296296295</v>
      </c>
      <c r="U14" s="283">
        <v>8118391499</v>
      </c>
      <c r="V14" s="88">
        <f>V15+V35+V45</f>
        <v>556434054</v>
      </c>
      <c r="W14" s="88">
        <f t="shared" ref="W14" si="0">U14+V14</f>
        <v>8674825553</v>
      </c>
      <c r="X14" s="135">
        <f>W14/H14*100</f>
        <v>69.5358765831174</v>
      </c>
      <c r="Y14" s="136">
        <f t="shared" ref="Y14:Y52" si="1">H14-W14</f>
        <v>3800497948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8382971326.9899998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67.196424415912219</v>
      </c>
      <c r="Q15" s="187">
        <v>86.999999999999986</v>
      </c>
      <c r="R15" s="187">
        <f>(R16+R19+R21+R28+R31)/5</f>
        <v>9.1</v>
      </c>
      <c r="S15" s="187">
        <f t="shared" ref="S15:S51" si="2">Q15+R15</f>
        <v>96.09999999999998</v>
      </c>
      <c r="T15" s="268">
        <f t="shared" ref="T15:T51" si="3">(P15*S15)/100</f>
        <v>64.575763863691634</v>
      </c>
      <c r="U15" s="282">
        <v>5948195232</v>
      </c>
      <c r="V15" s="188">
        <f>V16+V19+V21+V28+V31</f>
        <v>512404054</v>
      </c>
      <c r="W15" s="189">
        <f>U15+V15</f>
        <v>6460599286</v>
      </c>
      <c r="X15" s="187">
        <f t="shared" ref="X15:X52" si="4">W15/H15*100</f>
        <v>77.068130546973379</v>
      </c>
      <c r="Y15" s="190">
        <f t="shared" si="1"/>
        <v>1922372040.9899998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37900009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0.30379980925514277</v>
      </c>
      <c r="Q16" s="166">
        <v>58.5</v>
      </c>
      <c r="R16" s="166">
        <f>SUM(R17:R18)/2</f>
        <v>31.5</v>
      </c>
      <c r="S16" s="166">
        <f t="shared" si="2"/>
        <v>90</v>
      </c>
      <c r="T16" s="269">
        <f t="shared" si="3"/>
        <v>0.27341982832962847</v>
      </c>
      <c r="U16" s="168">
        <v>11295000</v>
      </c>
      <c r="V16" s="168">
        <f>SUM(V17:V18)</f>
        <v>0</v>
      </c>
      <c r="W16" s="173">
        <f t="shared" ref="W16:W52" si="5">U16+V16</f>
        <v>11295000</v>
      </c>
      <c r="X16" s="166">
        <f t="shared" si="4"/>
        <v>29.802103740925233</v>
      </c>
      <c r="Y16" s="169">
        <f t="shared" si="1"/>
        <v>26605009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31390000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0.25161672158228066</v>
      </c>
      <c r="Q17" s="24">
        <v>54</v>
      </c>
      <c r="R17" s="24">
        <v>0</v>
      </c>
      <c r="S17" s="24">
        <f t="shared" si="2"/>
        <v>54</v>
      </c>
      <c r="T17" s="270">
        <f t="shared" si="3"/>
        <v>0.13587302965443157</v>
      </c>
      <c r="U17" s="26">
        <v>7174000</v>
      </c>
      <c r="V17" s="26">
        <v>0</v>
      </c>
      <c r="W17" s="27">
        <f t="shared" si="5"/>
        <v>7174000</v>
      </c>
      <c r="X17" s="24">
        <f t="shared" si="4"/>
        <v>22.854412233195283</v>
      </c>
      <c r="Y17" s="28">
        <f t="shared" si="1"/>
        <v>24216000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5.2183087672862102E-2</v>
      </c>
      <c r="Q18" s="24">
        <v>63</v>
      </c>
      <c r="R18" s="24">
        <v>63</v>
      </c>
      <c r="S18" s="24">
        <f>Q18+R18</f>
        <v>126</v>
      </c>
      <c r="T18" s="270">
        <f t="shared" si="3"/>
        <v>6.5750690467806253E-2</v>
      </c>
      <c r="U18" s="26">
        <v>4121000</v>
      </c>
      <c r="V18" s="26">
        <v>0</v>
      </c>
      <c r="W18" s="27">
        <f t="shared" si="5"/>
        <v>4121000</v>
      </c>
      <c r="X18" s="24">
        <f>W18/H18*100</f>
        <v>63.302523852117567</v>
      </c>
      <c r="Y18" s="28">
        <f>H18-W18</f>
        <v>2389009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5997728736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48.076739136417842</v>
      </c>
      <c r="Q19" s="166">
        <v>79</v>
      </c>
      <c r="R19" s="166">
        <f>R20</f>
        <v>7</v>
      </c>
      <c r="S19" s="166">
        <f t="shared" si="2"/>
        <v>86</v>
      </c>
      <c r="T19" s="269">
        <f t="shared" si="3"/>
        <v>41.345995657319342</v>
      </c>
      <c r="U19" s="168">
        <v>4260052399</v>
      </c>
      <c r="V19" s="168">
        <f>SUM(V20)</f>
        <v>418036054</v>
      </c>
      <c r="W19" s="168">
        <f t="shared" si="5"/>
        <v>4678088453</v>
      </c>
      <c r="X19" s="166">
        <f t="shared" si="4"/>
        <v>77.997666431975148</v>
      </c>
      <c r="Y19" s="169">
        <f t="shared" si="1"/>
        <v>1319640283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5997728736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48.076739136417842</v>
      </c>
      <c r="Q20" s="24">
        <v>71</v>
      </c>
      <c r="R20" s="24">
        <v>7</v>
      </c>
      <c r="S20" s="24">
        <f t="shared" si="2"/>
        <v>78</v>
      </c>
      <c r="T20" s="270">
        <f t="shared" si="3"/>
        <v>37.499856526405914</v>
      </c>
      <c r="U20" s="32">
        <v>4260052399</v>
      </c>
      <c r="V20" s="26">
        <f>418036054</f>
        <v>418036054</v>
      </c>
      <c r="W20" s="26">
        <f t="shared" si="5"/>
        <v>4678088453</v>
      </c>
      <c r="X20" s="24">
        <f t="shared" si="4"/>
        <v>77.997666431975148</v>
      </c>
      <c r="Y20" s="28">
        <f t="shared" si="1"/>
        <v>1319640283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401087207.99000001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3.2150445474047191</v>
      </c>
      <c r="Q21" s="166">
        <v>50</v>
      </c>
      <c r="R21" s="166">
        <f>SUM(R22:R27)/6</f>
        <v>4.166666666666667</v>
      </c>
      <c r="S21" s="166">
        <f t="shared" si="2"/>
        <v>54.166666666666664</v>
      </c>
      <c r="T21" s="269">
        <f t="shared" si="3"/>
        <v>1.7414824631775563</v>
      </c>
      <c r="U21" s="168">
        <v>171163504</v>
      </c>
      <c r="V21" s="168">
        <f>SUM(V22:V27)</f>
        <v>19068000</v>
      </c>
      <c r="W21" s="173">
        <f t="shared" si="5"/>
        <v>190231504</v>
      </c>
      <c r="X21" s="166">
        <f>W21/H21*100</f>
        <v>47.428963130816896</v>
      </c>
      <c r="Y21" s="169">
        <f t="shared" si="1"/>
        <v>210855703.99000001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3.1008013537203422E-2</v>
      </c>
      <c r="Q22" s="24">
        <v>50</v>
      </c>
      <c r="R22" s="24">
        <v>24</v>
      </c>
      <c r="S22" s="24">
        <f t="shared" si="2"/>
        <v>74</v>
      </c>
      <c r="T22" s="270">
        <f t="shared" si="3"/>
        <v>2.2945930017530532E-2</v>
      </c>
      <c r="U22" s="32">
        <v>1927400</v>
      </c>
      <c r="V22" s="32">
        <v>953200</v>
      </c>
      <c r="W22" s="26">
        <f t="shared" si="5"/>
        <v>2880600</v>
      </c>
      <c r="X22" s="24">
        <f t="shared" si="4"/>
        <v>74.465857536158836</v>
      </c>
      <c r="Y22" s="28">
        <f t="shared" si="1"/>
        <v>987750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159933628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1.2819998454323049</v>
      </c>
      <c r="Q23" s="24">
        <v>35</v>
      </c>
      <c r="R23" s="24">
        <v>0</v>
      </c>
      <c r="S23" s="24">
        <f t="shared" si="2"/>
        <v>35</v>
      </c>
      <c r="T23" s="270">
        <f t="shared" si="3"/>
        <v>0.44869994590130674</v>
      </c>
      <c r="U23" s="32">
        <v>32466850</v>
      </c>
      <c r="V23" s="32">
        <v>0</v>
      </c>
      <c r="W23" s="26">
        <f t="shared" si="5"/>
        <v>32466850</v>
      </c>
      <c r="X23" s="24">
        <f t="shared" si="4"/>
        <v>20.300202281411387</v>
      </c>
      <c r="Y23" s="28">
        <f t="shared" si="1"/>
        <v>127466778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7.865703842640577E-2</v>
      </c>
      <c r="Q24" s="24">
        <v>60</v>
      </c>
      <c r="R24" s="24">
        <v>0</v>
      </c>
      <c r="S24" s="24">
        <f t="shared" si="2"/>
        <v>60</v>
      </c>
      <c r="T24" s="270">
        <f t="shared" si="3"/>
        <v>4.7194223055843462E-2</v>
      </c>
      <c r="U24" s="32">
        <v>5919400</v>
      </c>
      <c r="V24" s="32">
        <v>0</v>
      </c>
      <c r="W24" s="26">
        <f t="shared" si="5"/>
        <v>5919400</v>
      </c>
      <c r="X24" s="24">
        <f t="shared" si="4"/>
        <v>60.323743060028214</v>
      </c>
      <c r="Y24" s="28">
        <f t="shared" si="1"/>
        <v>3893320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5.4167012097588736E-2</v>
      </c>
      <c r="Q25" s="24">
        <v>74</v>
      </c>
      <c r="R25" s="24">
        <v>0</v>
      </c>
      <c r="S25" s="24">
        <f t="shared" si="2"/>
        <v>74</v>
      </c>
      <c r="T25" s="270">
        <f t="shared" si="3"/>
        <v>4.0083588952215664E-2</v>
      </c>
      <c r="U25" s="32">
        <v>4970000</v>
      </c>
      <c r="V25" s="32">
        <v>0</v>
      </c>
      <c r="W25" s="26">
        <f t="shared" si="5"/>
        <v>4970000</v>
      </c>
      <c r="X25" s="24">
        <f t="shared" si="4"/>
        <v>73.54780099999526</v>
      </c>
      <c r="Y25" s="54">
        <f t="shared" si="1"/>
        <v>1787509.9900000002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5.9573605441207711E-2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213283000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1.7096390324700086</v>
      </c>
      <c r="Q27" s="24">
        <v>81</v>
      </c>
      <c r="R27" s="24">
        <v>1</v>
      </c>
      <c r="S27" s="24">
        <f t="shared" si="2"/>
        <v>82</v>
      </c>
      <c r="T27" s="270">
        <f t="shared" si="3"/>
        <v>1.4019040066254069</v>
      </c>
      <c r="U27" s="32">
        <v>125879854</v>
      </c>
      <c r="V27" s="26">
        <v>18114800</v>
      </c>
      <c r="W27" s="26">
        <f t="shared" si="5"/>
        <v>143994654</v>
      </c>
      <c r="X27" s="24">
        <f t="shared" si="4"/>
        <v>67.513423010741604</v>
      </c>
      <c r="Y27" s="28">
        <f t="shared" si="1"/>
        <v>69288346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1499415000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12.019047040181439</v>
      </c>
      <c r="Q28" s="166">
        <v>49.5</v>
      </c>
      <c r="R28" s="166">
        <f>SUM(R29:R30)/2</f>
        <v>2.5</v>
      </c>
      <c r="S28" s="166">
        <f t="shared" si="2"/>
        <v>52</v>
      </c>
      <c r="T28" s="269">
        <f t="shared" si="3"/>
        <v>6.2499044608943484</v>
      </c>
      <c r="U28" s="168">
        <v>1253270512</v>
      </c>
      <c r="V28" s="168">
        <f>SUM(V29:V30)</f>
        <v>72500000</v>
      </c>
      <c r="W28" s="173">
        <f t="shared" si="5"/>
        <v>1325770512</v>
      </c>
      <c r="X28" s="166">
        <f t="shared" si="4"/>
        <v>88.419184281869931</v>
      </c>
      <c r="Y28" s="169">
        <f t="shared" si="1"/>
        <v>173644488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10205000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8.1801485942885457E-2</v>
      </c>
      <c r="Q29" s="24">
        <v>15</v>
      </c>
      <c r="R29" s="24">
        <v>0</v>
      </c>
      <c r="S29" s="24">
        <f t="shared" si="2"/>
        <v>15</v>
      </c>
      <c r="T29" s="270">
        <f t="shared" si="3"/>
        <v>1.2270222891432819E-2</v>
      </c>
      <c r="U29" s="32">
        <v>2360512</v>
      </c>
      <c r="V29" s="32">
        <v>0</v>
      </c>
      <c r="W29" s="26">
        <f t="shared" si="5"/>
        <v>2360512</v>
      </c>
      <c r="X29" s="24">
        <f t="shared" si="4"/>
        <v>23.130935815776578</v>
      </c>
      <c r="Y29" s="28">
        <f t="shared" si="1"/>
        <v>7844488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1489210000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11.937245554238554</v>
      </c>
      <c r="Q30" s="24">
        <v>84</v>
      </c>
      <c r="R30" s="24">
        <v>5</v>
      </c>
      <c r="S30" s="24">
        <f t="shared" si="2"/>
        <v>89</v>
      </c>
      <c r="T30" s="270">
        <f t="shared" si="3"/>
        <v>10.624148543272312</v>
      </c>
      <c r="U30" s="32">
        <v>1250910000</v>
      </c>
      <c r="V30" s="32">
        <f>72500000</f>
        <v>72500000</v>
      </c>
      <c r="W30" s="26">
        <f t="shared" si="5"/>
        <v>1323410000</v>
      </c>
      <c r="X30" s="24">
        <f t="shared" si="4"/>
        <v>88.866580267390091</v>
      </c>
      <c r="Y30" s="28">
        <f t="shared" si="1"/>
        <v>165800000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446840374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3.5817938826530797</v>
      </c>
      <c r="Q31" s="166">
        <v>48.666666666666664</v>
      </c>
      <c r="R31" s="166">
        <f>SUM(R32:R34)/3</f>
        <v>0.33333333333333331</v>
      </c>
      <c r="S31" s="166">
        <f t="shared" si="2"/>
        <v>49</v>
      </c>
      <c r="T31" s="269">
        <f t="shared" si="3"/>
        <v>1.7550790025000091</v>
      </c>
      <c r="U31" s="168">
        <v>252413817</v>
      </c>
      <c r="V31" s="168">
        <f>SUM(V32:V34)</f>
        <v>2800000</v>
      </c>
      <c r="W31" s="173">
        <f t="shared" si="5"/>
        <v>255213817</v>
      </c>
      <c r="X31" s="166">
        <f t="shared" si="4"/>
        <v>57.115209781826927</v>
      </c>
      <c r="Y31" s="169">
        <f t="shared" si="1"/>
        <v>191626557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0.58602568497834739</v>
      </c>
      <c r="Q32" s="24">
        <v>64</v>
      </c>
      <c r="R32" s="24">
        <v>0</v>
      </c>
      <c r="S32" s="24">
        <f t="shared" si="2"/>
        <v>64</v>
      </c>
      <c r="T32" s="270">
        <f t="shared" si="3"/>
        <v>0.37505643838614233</v>
      </c>
      <c r="U32" s="32">
        <v>47109707</v>
      </c>
      <c r="V32" s="32">
        <v>0</v>
      </c>
      <c r="W32" s="26">
        <f t="shared" si="5"/>
        <v>47109707</v>
      </c>
      <c r="X32" s="24">
        <f t="shared" si="4"/>
        <v>64.437982672353186</v>
      </c>
      <c r="Y32" s="28">
        <f t="shared" si="1"/>
        <v>25998893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217" t="s">
        <v>75</v>
      </c>
      <c r="H33" s="218">
        <v>359113696</v>
      </c>
      <c r="I33" s="219" t="s">
        <v>68</v>
      </c>
      <c r="J33" s="220" t="s">
        <v>16</v>
      </c>
      <c r="K33" s="220" t="s">
        <v>17</v>
      </c>
      <c r="L33" s="221"/>
      <c r="M33" s="222"/>
      <c r="N33" s="223"/>
      <c r="O33" s="224"/>
      <c r="P33" s="225">
        <f>H33/H52*100</f>
        <v>2.8785922543107927</v>
      </c>
      <c r="Q33" s="226">
        <v>56</v>
      </c>
      <c r="R33" s="226">
        <v>1</v>
      </c>
      <c r="S33" s="226">
        <f>Q33+R33</f>
        <v>57</v>
      </c>
      <c r="T33" s="327">
        <f t="shared" si="3"/>
        <v>1.6407975849571519</v>
      </c>
      <c r="U33" s="227">
        <v>201530110</v>
      </c>
      <c r="V33" s="227">
        <v>2800000</v>
      </c>
      <c r="W33" s="228">
        <f>U33+V33</f>
        <v>204330110</v>
      </c>
      <c r="X33" s="226">
        <f>W33/H33*100</f>
        <v>56.898445332477657</v>
      </c>
      <c r="Y33" s="229">
        <f>H33-W33</f>
        <v>154783586</v>
      </c>
      <c r="Z33" s="230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312" t="s">
        <v>75</v>
      </c>
      <c r="H34" s="313">
        <v>14618078</v>
      </c>
      <c r="I34" s="314" t="s">
        <v>68</v>
      </c>
      <c r="J34" s="315" t="s">
        <v>16</v>
      </c>
      <c r="K34" s="315" t="s">
        <v>17</v>
      </c>
      <c r="L34" s="316"/>
      <c r="M34" s="317"/>
      <c r="N34" s="318"/>
      <c r="O34" s="319"/>
      <c r="P34" s="320">
        <f>H34/H52*100</f>
        <v>0.11717594336393955</v>
      </c>
      <c r="Q34" s="321">
        <v>26</v>
      </c>
      <c r="R34" s="321">
        <v>0</v>
      </c>
      <c r="S34" s="321">
        <f t="shared" si="2"/>
        <v>26</v>
      </c>
      <c r="T34" s="322">
        <f t="shared" si="3"/>
        <v>3.0465745274624281E-2</v>
      </c>
      <c r="U34" s="323">
        <v>3774000</v>
      </c>
      <c r="V34" s="323">
        <v>0</v>
      </c>
      <c r="W34" s="324">
        <f t="shared" si="5"/>
        <v>3774000</v>
      </c>
      <c r="X34" s="321">
        <f t="shared" si="4"/>
        <v>25.81734753364977</v>
      </c>
      <c r="Y34" s="325">
        <f t="shared" si="1"/>
        <v>10844078</v>
      </c>
      <c r="Z34" s="326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44" t="s">
        <v>75</v>
      </c>
      <c r="H35" s="245">
        <f>H36+H40+H43</f>
        <v>2767443769.0100002</v>
      </c>
      <c r="I35" s="246"/>
      <c r="J35" s="244" t="s">
        <v>16</v>
      </c>
      <c r="K35" s="244" t="s">
        <v>17</v>
      </c>
      <c r="L35" s="247"/>
      <c r="M35" s="248"/>
      <c r="N35" s="249"/>
      <c r="O35" s="250"/>
      <c r="P35" s="251">
        <f>H35/H52*100</f>
        <v>22.183342730857174</v>
      </c>
      <c r="Q35" s="252">
        <v>46.055555555555557</v>
      </c>
      <c r="R35" s="252">
        <f>(R36+R40+R43)/3</f>
        <v>0</v>
      </c>
      <c r="S35" s="252">
        <f t="shared" si="2"/>
        <v>46.055555555555557</v>
      </c>
      <c r="T35" s="334">
        <f t="shared" si="3"/>
        <v>10.21666173548922</v>
      </c>
      <c r="U35" s="253">
        <v>1706138636</v>
      </c>
      <c r="V35" s="254">
        <f>V36+V40+V43</f>
        <v>0</v>
      </c>
      <c r="W35" s="254">
        <f t="shared" si="5"/>
        <v>1706138636</v>
      </c>
      <c r="X35" s="252">
        <f>W35/H35*100</f>
        <v>61.650345170711027</v>
      </c>
      <c r="Y35" s="255">
        <f>H35-W35</f>
        <v>1061305133.0100002</v>
      </c>
      <c r="Z35" s="256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257" t="s">
        <v>75</v>
      </c>
      <c r="H36" s="258">
        <f>SUM(H37:H39)</f>
        <v>2424044780</v>
      </c>
      <c r="I36" s="259"/>
      <c r="J36" s="257" t="s">
        <v>16</v>
      </c>
      <c r="K36" s="257" t="s">
        <v>17</v>
      </c>
      <c r="L36" s="260"/>
      <c r="M36" s="261"/>
      <c r="N36" s="262"/>
      <c r="O36" s="260"/>
      <c r="P36" s="263">
        <f>H36/H52*100</f>
        <v>19.430716805104836</v>
      </c>
      <c r="Q36" s="264">
        <v>52.166666666666671</v>
      </c>
      <c r="R36" s="264">
        <f>SUM(R37:R39)/3</f>
        <v>0</v>
      </c>
      <c r="S36" s="264">
        <f t="shared" si="2"/>
        <v>52.166666666666671</v>
      </c>
      <c r="T36" s="335">
        <f t="shared" si="3"/>
        <v>10.136357266663024</v>
      </c>
      <c r="U36" s="265">
        <v>1616602736</v>
      </c>
      <c r="V36" s="265">
        <f>SUM(V37:V39)</f>
        <v>0</v>
      </c>
      <c r="W36" s="265">
        <f t="shared" si="5"/>
        <v>1616602736</v>
      </c>
      <c r="X36" s="264">
        <f>W36/H36*100</f>
        <v>66.690300003451256</v>
      </c>
      <c r="Y36" s="266">
        <f>H36-W36</f>
        <v>807442044</v>
      </c>
      <c r="Z36" s="267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0.65297304709950221</v>
      </c>
      <c r="Q37" s="24">
        <v>89</v>
      </c>
      <c r="R37" s="24">
        <v>0</v>
      </c>
      <c r="S37" s="24">
        <f>Q37+R37</f>
        <v>89</v>
      </c>
      <c r="T37" s="270">
        <f t="shared" si="3"/>
        <v>0.58114601191855697</v>
      </c>
      <c r="U37" s="32">
        <v>40723445</v>
      </c>
      <c r="V37" s="26">
        <v>0</v>
      </c>
      <c r="W37" s="26">
        <f>U37+V37</f>
        <v>40723445</v>
      </c>
      <c r="X37" s="24">
        <f>W37/H37*100</f>
        <v>49.991646258002341</v>
      </c>
      <c r="Y37" s="28">
        <f>H37-W37</f>
        <v>40737055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2.1757191304757974E-2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2339870000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18.755986566700575</v>
      </c>
      <c r="Q39" s="24">
        <v>67</v>
      </c>
      <c r="R39" s="24">
        <v>0</v>
      </c>
      <c r="S39" s="24">
        <f t="shared" si="2"/>
        <v>67</v>
      </c>
      <c r="T39" s="270">
        <f t="shared" si="3"/>
        <v>12.566510999689385</v>
      </c>
      <c r="U39" s="32">
        <v>1575879291</v>
      </c>
      <c r="V39" s="26">
        <v>0</v>
      </c>
      <c r="W39" s="26">
        <f t="shared" si="5"/>
        <v>1575879291</v>
      </c>
      <c r="X39" s="24">
        <f>W39/H39*100</f>
        <v>67.349010457845949</v>
      </c>
      <c r="Y39" s="28">
        <f t="shared" si="1"/>
        <v>763990709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338928989.00999999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2.7167951915862703</v>
      </c>
      <c r="Q40" s="166">
        <v>80</v>
      </c>
      <c r="R40" s="166">
        <f>SUM(R41:R42)/2</f>
        <v>0</v>
      </c>
      <c r="S40" s="166">
        <f>Q40+R40</f>
        <v>80</v>
      </c>
      <c r="T40" s="269">
        <f t="shared" si="3"/>
        <v>2.1734361532690163</v>
      </c>
      <c r="U40" s="168">
        <v>89535900</v>
      </c>
      <c r="V40" s="173">
        <f>SUM(V41:V42)</f>
        <v>0</v>
      </c>
      <c r="W40" s="173">
        <f t="shared" si="5"/>
        <v>89535900</v>
      </c>
      <c r="X40" s="166">
        <f t="shared" si="4"/>
        <v>26.417303595520497</v>
      </c>
      <c r="Y40" s="169">
        <f t="shared" si="1"/>
        <v>249393089.00999999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0.10391221525406437</v>
      </c>
      <c r="Q41" s="24">
        <v>95</v>
      </c>
      <c r="R41" s="24">
        <v>0</v>
      </c>
      <c r="S41" s="24">
        <f>Q41+R41</f>
        <v>95</v>
      </c>
      <c r="T41" s="270">
        <f t="shared" si="3"/>
        <v>9.871660449136116E-2</v>
      </c>
      <c r="U41" s="32">
        <v>12354900</v>
      </c>
      <c r="V41" s="26">
        <v>0</v>
      </c>
      <c r="W41" s="26">
        <f t="shared" si="5"/>
        <v>12354900</v>
      </c>
      <c r="X41" s="24">
        <f t="shared" si="4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325965604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2.6128829763322066</v>
      </c>
      <c r="Q42" s="24">
        <v>65</v>
      </c>
      <c r="R42" s="24">
        <v>0</v>
      </c>
      <c r="S42" s="24">
        <f>Q42+R42</f>
        <v>65</v>
      </c>
      <c r="T42" s="270">
        <f t="shared" si="3"/>
        <v>1.6983739346159341</v>
      </c>
      <c r="U42" s="32">
        <v>77181000</v>
      </c>
      <c r="V42" s="26">
        <v>0</v>
      </c>
      <c r="W42" s="26">
        <f t="shared" si="5"/>
        <v>77181000</v>
      </c>
      <c r="X42" s="24">
        <f t="shared" si="4"/>
        <v>23.67765158436778</v>
      </c>
      <c r="Y42" s="28">
        <f t="shared" si="1"/>
        <v>248784604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3.5830734166065456E-2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3.5830734166065456E-2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>
        <v>0</v>
      </c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1324908405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10.620232853230601</v>
      </c>
      <c r="Q45" s="187">
        <v>29.666666666666668</v>
      </c>
      <c r="R45" s="187">
        <f>(R46+R50)/2</f>
        <v>0.16666666666666666</v>
      </c>
      <c r="S45" s="187">
        <f t="shared" si="2"/>
        <v>29.833333333333336</v>
      </c>
      <c r="T45" s="268">
        <f t="shared" si="3"/>
        <v>3.1683694678804626</v>
      </c>
      <c r="U45" s="188">
        <v>464057631</v>
      </c>
      <c r="V45" s="189">
        <f>V46+V50</f>
        <v>44030000</v>
      </c>
      <c r="W45" s="189">
        <f t="shared" si="5"/>
        <v>508087631</v>
      </c>
      <c r="X45" s="187">
        <f t="shared" si="4"/>
        <v>38.348887295344767</v>
      </c>
      <c r="Y45" s="190">
        <f t="shared" si="1"/>
        <v>816820774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829908405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6.6523998751092588</v>
      </c>
      <c r="Q46" s="166">
        <v>47.333333333333336</v>
      </c>
      <c r="R46" s="166">
        <f>SUM(R47:R49)/3</f>
        <v>0.33333333333333331</v>
      </c>
      <c r="S46" s="166">
        <f t="shared" si="2"/>
        <v>47.666666666666671</v>
      </c>
      <c r="T46" s="269">
        <f t="shared" si="3"/>
        <v>3.1709772738020803</v>
      </c>
      <c r="U46" s="168">
        <v>409799131</v>
      </c>
      <c r="V46" s="173">
        <f>SUM(V47:V49)</f>
        <v>44030000</v>
      </c>
      <c r="W46" s="173">
        <f t="shared" si="5"/>
        <v>453829131</v>
      </c>
      <c r="X46" s="166">
        <f t="shared" si="4"/>
        <v>54.684243256941109</v>
      </c>
      <c r="Y46" s="169">
        <f t="shared" si="1"/>
        <v>376079274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710559600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5.6957208359610298</v>
      </c>
      <c r="Q47" s="24">
        <v>61</v>
      </c>
      <c r="R47" s="24">
        <v>1</v>
      </c>
      <c r="S47" s="24">
        <f t="shared" si="2"/>
        <v>62</v>
      </c>
      <c r="T47" s="270">
        <f t="shared" si="3"/>
        <v>3.5313469182958386</v>
      </c>
      <c r="U47" s="26">
        <v>316925431</v>
      </c>
      <c r="V47" s="26">
        <v>44030000</v>
      </c>
      <c r="W47" s="26">
        <f t="shared" si="5"/>
        <v>360955431</v>
      </c>
      <c r="X47" s="24">
        <f t="shared" si="4"/>
        <v>50.798755093872494</v>
      </c>
      <c r="Y47" s="28">
        <f t="shared" si="1"/>
        <v>349604169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291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7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0.95667903914822894</v>
      </c>
      <c r="Q49" s="24">
        <v>79</v>
      </c>
      <c r="R49" s="24">
        <v>0</v>
      </c>
      <c r="S49" s="24">
        <f t="shared" si="2"/>
        <v>79</v>
      </c>
      <c r="T49" s="270">
        <f t="shared" si="3"/>
        <v>0.75577644092710083</v>
      </c>
      <c r="U49" s="26">
        <v>92873700</v>
      </c>
      <c r="V49" s="26">
        <v>0</v>
      </c>
      <c r="W49" s="26">
        <f t="shared" si="5"/>
        <v>92873700</v>
      </c>
      <c r="X49" s="24">
        <f t="shared" si="4"/>
        <v>77.817033861378007</v>
      </c>
      <c r="Y49" s="28">
        <f t="shared" si="1"/>
        <v>26475105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495000000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3.9678329781213426</v>
      </c>
      <c r="Q50" s="166">
        <v>11</v>
      </c>
      <c r="R50" s="166">
        <f>R51</f>
        <v>0</v>
      </c>
      <c r="S50" s="166">
        <f t="shared" si="2"/>
        <v>11</v>
      </c>
      <c r="T50" s="269">
        <f t="shared" si="3"/>
        <v>0.43646162759334772</v>
      </c>
      <c r="U50" s="168">
        <v>54258500</v>
      </c>
      <c r="V50" s="173">
        <f>SUM(V51)</f>
        <v>0</v>
      </c>
      <c r="W50" s="173">
        <f t="shared" si="5"/>
        <v>54258500</v>
      </c>
      <c r="X50" s="166">
        <f t="shared" si="4"/>
        <v>10.961313131313132</v>
      </c>
      <c r="Y50" s="169">
        <f t="shared" si="1"/>
        <v>440741500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495000000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3.9678329781213426</v>
      </c>
      <c r="Q51" s="24">
        <v>11</v>
      </c>
      <c r="R51" s="24">
        <v>0</v>
      </c>
      <c r="S51" s="24">
        <f t="shared" si="2"/>
        <v>11</v>
      </c>
      <c r="T51" s="270">
        <f t="shared" si="3"/>
        <v>0.43646162759334772</v>
      </c>
      <c r="U51" s="26">
        <v>54258500</v>
      </c>
      <c r="V51" s="26">
        <v>0</v>
      </c>
      <c r="W51" s="26">
        <f t="shared" si="5"/>
        <v>54258500</v>
      </c>
      <c r="X51" s="24">
        <f t="shared" si="4"/>
        <v>10.961313131313132</v>
      </c>
      <c r="Y51" s="28">
        <f t="shared" si="1"/>
        <v>440741500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290">
        <f>H15+H35+H45</f>
        <v>12475323501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51.577407407407406</v>
      </c>
      <c r="R52" s="120">
        <f>R14</f>
        <v>3.0888888888888886</v>
      </c>
      <c r="S52" s="120">
        <f>S14</f>
        <v>54.666296296296295</v>
      </c>
      <c r="T52" s="120">
        <f>T14</f>
        <v>54.666296296296295</v>
      </c>
      <c r="U52" s="121">
        <v>8118391499</v>
      </c>
      <c r="V52" s="121">
        <f>V15+V35+V45</f>
        <v>556434054</v>
      </c>
      <c r="W52" s="121">
        <f t="shared" si="5"/>
        <v>8674825553</v>
      </c>
      <c r="X52" s="122">
        <f t="shared" si="4"/>
        <v>69.5358765831174</v>
      </c>
      <c r="Y52" s="123">
        <f t="shared" si="1"/>
        <v>3800497948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329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F55" s="289">
        <v>418036054</v>
      </c>
      <c r="I55" s="73"/>
      <c r="J55" s="83"/>
      <c r="V55" s="72" t="s">
        <v>144</v>
      </c>
    </row>
    <row r="56" spans="1:26" s="72" customFormat="1" ht="15" customHeight="1" x14ac:dyDescent="0.45">
      <c r="F56" s="332">
        <v>72500000</v>
      </c>
      <c r="H56" s="73"/>
      <c r="I56" s="73"/>
      <c r="T56" s="284"/>
      <c r="V56" s="285"/>
      <c r="W56" s="285"/>
      <c r="X56" s="284"/>
      <c r="Y56" s="286"/>
    </row>
    <row r="57" spans="1:26" s="72" customFormat="1" ht="15" customHeight="1" x14ac:dyDescent="0.45">
      <c r="F57" s="332">
        <v>65898000</v>
      </c>
      <c r="I57" s="73"/>
      <c r="O57" s="371"/>
      <c r="P57" s="371"/>
      <c r="V57" s="72" t="s">
        <v>88</v>
      </c>
    </row>
    <row r="58" spans="1:26" s="72" customFormat="1" ht="15" customHeight="1" x14ac:dyDescent="0.45">
      <c r="F58" s="332">
        <f>SUM(F55:F57)</f>
        <v>556434054</v>
      </c>
      <c r="H58" s="330"/>
      <c r="I58" s="73"/>
      <c r="V58" s="72" t="s">
        <v>27</v>
      </c>
    </row>
    <row r="59" spans="1:26" s="72" customFormat="1" ht="15" customHeight="1" x14ac:dyDescent="0.45">
      <c r="F59" s="333"/>
      <c r="H59" s="331"/>
      <c r="I59" s="73"/>
    </row>
    <row r="60" spans="1:26" s="72" customFormat="1" ht="15" customHeight="1" x14ac:dyDescent="0.45">
      <c r="I60" s="73"/>
      <c r="V60" s="284"/>
      <c r="W60" s="285"/>
      <c r="X60" s="284"/>
      <c r="Y60" s="287"/>
    </row>
    <row r="61" spans="1:26" s="72" customFormat="1" ht="15" customHeight="1" x14ac:dyDescent="0.45">
      <c r="I61" s="73"/>
      <c r="V61" s="284"/>
      <c r="W61" s="285"/>
      <c r="X61" s="284"/>
      <c r="Y61" s="284"/>
    </row>
    <row r="62" spans="1:26" s="72" customFormat="1" ht="15" customHeight="1" x14ac:dyDescent="0.45">
      <c r="I62" s="73"/>
      <c r="V62" s="284"/>
      <c r="W62" s="285"/>
      <c r="X62" s="284"/>
      <c r="Y62" s="284"/>
    </row>
    <row r="63" spans="1:26" s="72" customFormat="1" ht="15" customHeight="1" x14ac:dyDescent="0.45">
      <c r="I63" s="73"/>
      <c r="V63" s="72" t="s">
        <v>89</v>
      </c>
    </row>
    <row r="64" spans="1:26" s="72" customFormat="1" ht="15" customHeight="1" x14ac:dyDescent="0.45">
      <c r="I64" s="73"/>
      <c r="V64" s="72" t="s">
        <v>63</v>
      </c>
    </row>
    <row r="65" spans="9:25" s="72" customFormat="1" ht="15" customHeight="1" x14ac:dyDescent="0.45">
      <c r="I65" s="73"/>
      <c r="V65" s="72" t="s">
        <v>90</v>
      </c>
    </row>
    <row r="66" spans="9:25" s="72" customFormat="1" ht="15" x14ac:dyDescent="0.45">
      <c r="T66" s="284"/>
      <c r="U66" s="284"/>
      <c r="V66" s="284"/>
      <c r="W66" s="284"/>
      <c r="X66" s="284"/>
      <c r="Y66" s="284"/>
    </row>
    <row r="67" spans="9:25" s="72" customFormat="1" ht="15" x14ac:dyDescent="0.45"/>
  </sheetData>
  <mergeCells count="31">
    <mergeCell ref="A12:E12"/>
    <mergeCell ref="F52:G52"/>
    <mergeCell ref="O57:P57"/>
    <mergeCell ref="E9:E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K10:K11"/>
    <mergeCell ref="W10:X10"/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Y8:Y11"/>
    <mergeCell ref="Z8:Z11"/>
    <mergeCell ref="A9:A11"/>
    <mergeCell ref="B9:B11"/>
    <mergeCell ref="C9:C11"/>
    <mergeCell ref="D9:D11"/>
  </mergeCells>
  <pageMargins left="0.3" right="0.11811023622047245" top="0.23" bottom="0.19685039370078741" header="0.19685039370078741" footer="0.11811023622047245"/>
  <pageSetup paperSize="9" scale="58" orientation="landscape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Z99"/>
  <sheetViews>
    <sheetView tabSelected="1" topLeftCell="H1" workbookViewId="0">
      <selection activeCell="O59" sqref="O59:P59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9.06640625" style="1" customWidth="1"/>
    <col min="8" max="8" width="16.33203125" style="1" customWidth="1"/>
    <col min="9" max="9" width="10.1328125" style="1" customWidth="1"/>
    <col min="10" max="10" width="7.86328125" style="1" customWidth="1"/>
    <col min="11" max="11" width="9.265625" style="1" customWidth="1"/>
    <col min="12" max="12" width="7" style="1" customWidth="1"/>
    <col min="13" max="13" width="5.73046875" style="1" customWidth="1"/>
    <col min="14" max="14" width="7.265625" style="1" customWidth="1"/>
    <col min="15" max="15" width="7.73046875" style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3.3984375" style="1" customWidth="1"/>
    <col min="26" max="26" width="4.79687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145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21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21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12475323501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12475323501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67.040370370370368</v>
      </c>
      <c r="R14" s="133">
        <f>(R15+R35+R45)/3</f>
        <v>22.081481481481479</v>
      </c>
      <c r="S14" s="133">
        <f>Q14+R14</f>
        <v>89.121851851851844</v>
      </c>
      <c r="T14" s="275">
        <f>(P14*S14)/100</f>
        <v>89.121851851851844</v>
      </c>
      <c r="U14" s="283">
        <v>8907229481</v>
      </c>
      <c r="V14" s="88">
        <f>V15+V35+V45</f>
        <v>2316538949</v>
      </c>
      <c r="W14" s="88">
        <f t="shared" ref="W14" si="0">U14+V14</f>
        <v>11223768430</v>
      </c>
      <c r="X14" s="135">
        <f>W14/H14*100</f>
        <v>89.967754576467073</v>
      </c>
      <c r="Y14" s="136">
        <f t="shared" ref="Y14:Y52" si="1">H14-W14</f>
        <v>1251555071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8382971326.9899998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67.196424415912219</v>
      </c>
      <c r="Q15" s="187">
        <v>92.833333333333314</v>
      </c>
      <c r="R15" s="187">
        <f>(R16+R19+R21+R28+R31)/5</f>
        <v>20.3</v>
      </c>
      <c r="S15" s="187">
        <f>(S16+S19+S21+S28+S31)/5</f>
        <v>83.266666666666652</v>
      </c>
      <c r="T15" s="268">
        <f t="shared" ref="T15:T51" si="2">(P15*S15)/100</f>
        <v>55.952222730316237</v>
      </c>
      <c r="U15" s="282">
        <v>6618763413</v>
      </c>
      <c r="V15" s="188">
        <f>V16+V19+V21+V28+V31</f>
        <v>1006907595</v>
      </c>
      <c r="W15" s="189">
        <f>U15+V15</f>
        <v>7625671008</v>
      </c>
      <c r="X15" s="187">
        <f t="shared" ref="X15:X52" si="3">W15/H15*100</f>
        <v>90.966206498264185</v>
      </c>
      <c r="Y15" s="190">
        <f t="shared" si="1"/>
        <v>757300318.98999977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37900009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0.30379980925514277</v>
      </c>
      <c r="Q16" s="166">
        <v>58.5</v>
      </c>
      <c r="R16" s="166">
        <f>SUM(R17:R18)/2</f>
        <v>33</v>
      </c>
      <c r="S16" s="166">
        <f t="shared" ref="S16:S51" si="4">Q16+R16</f>
        <v>91.5</v>
      </c>
      <c r="T16" s="269">
        <f t="shared" si="2"/>
        <v>0.27797682546845565</v>
      </c>
      <c r="U16" s="168">
        <v>11295000</v>
      </c>
      <c r="V16" s="168">
        <f>SUM(V17:V18)</f>
        <v>23170000</v>
      </c>
      <c r="W16" s="173">
        <f t="shared" ref="W16:W52" si="5">U16+V16</f>
        <v>34465000</v>
      </c>
      <c r="X16" s="166">
        <f t="shared" si="3"/>
        <v>90.936653867285372</v>
      </c>
      <c r="Y16" s="169">
        <f t="shared" si="1"/>
        <v>3435009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31390000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0.25161672158228066</v>
      </c>
      <c r="Q17" s="24">
        <v>54</v>
      </c>
      <c r="R17" s="24">
        <v>36</v>
      </c>
      <c r="S17" s="24">
        <f t="shared" si="4"/>
        <v>90</v>
      </c>
      <c r="T17" s="270">
        <f t="shared" si="2"/>
        <v>0.22645504942405259</v>
      </c>
      <c r="U17" s="26">
        <v>7174000</v>
      </c>
      <c r="V17" s="26">
        <v>21220000</v>
      </c>
      <c r="W17" s="27">
        <f t="shared" si="5"/>
        <v>28394000</v>
      </c>
      <c r="X17" s="24">
        <f t="shared" si="3"/>
        <v>90.455559095253264</v>
      </c>
      <c r="Y17" s="28">
        <f t="shared" si="1"/>
        <v>2996000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5.2183087672862102E-2</v>
      </c>
      <c r="Q18" s="24">
        <v>63</v>
      </c>
      <c r="R18" s="24">
        <v>30</v>
      </c>
      <c r="S18" s="24">
        <f>Q18+R18</f>
        <v>93</v>
      </c>
      <c r="T18" s="270">
        <f t="shared" si="2"/>
        <v>4.8530271535761754E-2</v>
      </c>
      <c r="U18" s="26">
        <v>4121000</v>
      </c>
      <c r="V18" s="26">
        <v>1950000</v>
      </c>
      <c r="W18" s="27">
        <f t="shared" si="5"/>
        <v>6071000</v>
      </c>
      <c r="X18" s="24">
        <f>W18/H18*100</f>
        <v>93.256399491920831</v>
      </c>
      <c r="Y18" s="28">
        <f>H18-W18</f>
        <v>439009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5997728736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48.076739136417842</v>
      </c>
      <c r="Q19" s="166">
        <v>88</v>
      </c>
      <c r="R19" s="166">
        <f>R20</f>
        <v>10</v>
      </c>
      <c r="S19" s="166">
        <f t="shared" si="4"/>
        <v>98</v>
      </c>
      <c r="T19" s="269">
        <f t="shared" si="2"/>
        <v>47.115204353689485</v>
      </c>
      <c r="U19" s="168">
        <v>4770323254</v>
      </c>
      <c r="V19" s="168">
        <f>SUM(V20)</f>
        <v>601051077</v>
      </c>
      <c r="W19" s="168">
        <f t="shared" si="5"/>
        <v>5371374331</v>
      </c>
      <c r="X19" s="166">
        <f t="shared" si="3"/>
        <v>89.556806708505334</v>
      </c>
      <c r="Y19" s="169">
        <f t="shared" si="1"/>
        <v>626354405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5997728736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48.076739136417842</v>
      </c>
      <c r="Q20" s="24">
        <v>80</v>
      </c>
      <c r="R20" s="24">
        <v>10</v>
      </c>
      <c r="S20" s="24">
        <f t="shared" si="4"/>
        <v>90</v>
      </c>
      <c r="T20" s="270">
        <f t="shared" si="2"/>
        <v>43.269065222776064</v>
      </c>
      <c r="U20" s="32">
        <v>4770323254</v>
      </c>
      <c r="V20" s="26">
        <f>603900841-2849764</f>
        <v>601051077</v>
      </c>
      <c r="W20" s="26">
        <f t="shared" si="5"/>
        <v>5371374331</v>
      </c>
      <c r="X20" s="24">
        <f t="shared" si="3"/>
        <v>89.556806708505334</v>
      </c>
      <c r="Y20" s="28">
        <f t="shared" si="1"/>
        <v>626354405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401087207.99000001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3.2150445474047191</v>
      </c>
      <c r="Q21" s="166">
        <v>54.166666666666664</v>
      </c>
      <c r="R21" s="166">
        <f>SUM(R22:R27)/6</f>
        <v>25</v>
      </c>
      <c r="S21" s="166">
        <f t="shared" si="4"/>
        <v>79.166666666666657</v>
      </c>
      <c r="T21" s="269">
        <f t="shared" si="2"/>
        <v>2.5452436000287357</v>
      </c>
      <c r="U21" s="168">
        <v>206722504</v>
      </c>
      <c r="V21" s="168">
        <f>SUM(V22:V27)</f>
        <v>145901910</v>
      </c>
      <c r="W21" s="173">
        <f t="shared" si="5"/>
        <v>352624414</v>
      </c>
      <c r="X21" s="166">
        <f>W21/H21*100</f>
        <v>87.917142949318816</v>
      </c>
      <c r="Y21" s="169">
        <f t="shared" si="1"/>
        <v>48462793.99000001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3.1008013537203422E-2</v>
      </c>
      <c r="Q22" s="24">
        <v>74</v>
      </c>
      <c r="R22" s="24">
        <v>26</v>
      </c>
      <c r="S22" s="24">
        <f t="shared" si="4"/>
        <v>100</v>
      </c>
      <c r="T22" s="270">
        <f t="shared" si="2"/>
        <v>3.1008013537203422E-2</v>
      </c>
      <c r="U22" s="32">
        <v>2880600</v>
      </c>
      <c r="V22" s="32">
        <v>987600</v>
      </c>
      <c r="W22" s="26">
        <f t="shared" si="5"/>
        <v>3868200</v>
      </c>
      <c r="X22" s="24">
        <f t="shared" si="3"/>
        <v>99.996122377757956</v>
      </c>
      <c r="Y22" s="28">
        <f t="shared" si="1"/>
        <v>150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159933628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1.2819998454323049</v>
      </c>
      <c r="Q23" s="24">
        <v>35</v>
      </c>
      <c r="R23" s="24">
        <v>43</v>
      </c>
      <c r="S23" s="24">
        <f t="shared" si="4"/>
        <v>78</v>
      </c>
      <c r="T23" s="270">
        <f t="shared" si="2"/>
        <v>0.99995987943719777</v>
      </c>
      <c r="U23" s="32">
        <v>32466850</v>
      </c>
      <c r="V23" s="32">
        <f>72449700+19116790</f>
        <v>91566490</v>
      </c>
      <c r="W23" s="26">
        <f t="shared" si="5"/>
        <v>124033340</v>
      </c>
      <c r="X23" s="24">
        <f t="shared" si="3"/>
        <v>77.553008426720609</v>
      </c>
      <c r="Y23" s="28">
        <f t="shared" si="1"/>
        <v>35900288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7.865703842640577E-2</v>
      </c>
      <c r="Q24" s="24">
        <v>60</v>
      </c>
      <c r="R24" s="24">
        <v>40</v>
      </c>
      <c r="S24" s="24">
        <f t="shared" si="4"/>
        <v>100</v>
      </c>
      <c r="T24" s="270">
        <f t="shared" si="2"/>
        <v>7.865703842640577E-2</v>
      </c>
      <c r="U24" s="32">
        <v>5919400</v>
      </c>
      <c r="V24" s="32">
        <v>3849200</v>
      </c>
      <c r="W24" s="26">
        <f t="shared" si="5"/>
        <v>9768600</v>
      </c>
      <c r="X24" s="24">
        <f t="shared" si="3"/>
        <v>99.55037950741486</v>
      </c>
      <c r="Y24" s="28">
        <f t="shared" si="1"/>
        <v>44120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5.4167012097588736E-2</v>
      </c>
      <c r="Q25" s="24">
        <v>74</v>
      </c>
      <c r="R25" s="24">
        <v>15</v>
      </c>
      <c r="S25" s="24">
        <f t="shared" si="4"/>
        <v>89</v>
      </c>
      <c r="T25" s="270">
        <f t="shared" si="2"/>
        <v>4.820864076685398E-2</v>
      </c>
      <c r="U25" s="32">
        <v>4970000</v>
      </c>
      <c r="V25" s="32">
        <v>1064000</v>
      </c>
      <c r="W25" s="26">
        <f t="shared" si="5"/>
        <v>6034000</v>
      </c>
      <c r="X25" s="24">
        <f t="shared" si="3"/>
        <v>89.293245721121011</v>
      </c>
      <c r="Y25" s="54">
        <f t="shared" si="1"/>
        <v>723509.99000000022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5.9573605441207711E-2</v>
      </c>
      <c r="Q26" s="24">
        <v>0</v>
      </c>
      <c r="R26" s="24">
        <v>10</v>
      </c>
      <c r="S26" s="24">
        <f t="shared" si="4"/>
        <v>10</v>
      </c>
      <c r="T26" s="270">
        <f t="shared" si="2"/>
        <v>5.9573605441207711E-3</v>
      </c>
      <c r="U26" s="26">
        <v>0</v>
      </c>
      <c r="V26" s="26">
        <v>776000</v>
      </c>
      <c r="W26" s="26">
        <f t="shared" si="5"/>
        <v>776000</v>
      </c>
      <c r="X26" s="24">
        <f t="shared" si="3"/>
        <v>10.441334768568353</v>
      </c>
      <c r="Y26" s="28">
        <f t="shared" si="1"/>
        <v>6656000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213283000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1.7096390324700086</v>
      </c>
      <c r="Q27" s="24">
        <v>82</v>
      </c>
      <c r="R27" s="24">
        <v>16</v>
      </c>
      <c r="S27" s="24">
        <f t="shared" si="4"/>
        <v>98</v>
      </c>
      <c r="T27" s="270">
        <f t="shared" si="2"/>
        <v>1.6754462518206086</v>
      </c>
      <c r="U27" s="32">
        <v>160485654</v>
      </c>
      <c r="V27" s="26">
        <v>47658620</v>
      </c>
      <c r="W27" s="26">
        <f t="shared" si="5"/>
        <v>208144274</v>
      </c>
      <c r="X27" s="24">
        <f t="shared" si="3"/>
        <v>97.590653732364984</v>
      </c>
      <c r="Y27" s="28">
        <f t="shared" si="1"/>
        <v>5138726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1499415000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12.019047040181439</v>
      </c>
      <c r="Q28" s="166">
        <v>60.5</v>
      </c>
      <c r="R28" s="166">
        <f>SUM(R29:R30)/2</f>
        <v>13.5</v>
      </c>
      <c r="S28" s="166">
        <f t="shared" si="4"/>
        <v>74</v>
      </c>
      <c r="T28" s="269">
        <f t="shared" si="2"/>
        <v>8.8940948097342645</v>
      </c>
      <c r="U28" s="168">
        <v>1326716588</v>
      </c>
      <c r="V28" s="168">
        <f>SUM(V29:V30)</f>
        <v>164602676</v>
      </c>
      <c r="W28" s="173">
        <f t="shared" si="5"/>
        <v>1491319264</v>
      </c>
      <c r="X28" s="166">
        <f t="shared" si="3"/>
        <v>99.460073695407885</v>
      </c>
      <c r="Y28" s="169">
        <f t="shared" si="1"/>
        <v>8095736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10205000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8.1801485942885457E-2</v>
      </c>
      <c r="Q29" s="24">
        <v>32</v>
      </c>
      <c r="R29" s="24">
        <v>16</v>
      </c>
      <c r="S29" s="24">
        <f t="shared" si="4"/>
        <v>48</v>
      </c>
      <c r="T29" s="270">
        <f t="shared" si="2"/>
        <v>3.9264713252585022E-2</v>
      </c>
      <c r="U29" s="32">
        <v>3306588</v>
      </c>
      <c r="V29" s="32">
        <v>1622676</v>
      </c>
      <c r="W29" s="26">
        <f t="shared" si="5"/>
        <v>4929264</v>
      </c>
      <c r="X29" s="24">
        <f t="shared" si="3"/>
        <v>48.302439980401765</v>
      </c>
      <c r="Y29" s="28">
        <f t="shared" si="1"/>
        <v>5275736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1489210000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11.937245554238554</v>
      </c>
      <c r="Q30" s="24">
        <v>89</v>
      </c>
      <c r="R30" s="24">
        <v>11</v>
      </c>
      <c r="S30" s="24">
        <f t="shared" si="4"/>
        <v>100</v>
      </c>
      <c r="T30" s="270">
        <f t="shared" si="2"/>
        <v>11.937245554238554</v>
      </c>
      <c r="U30" s="32">
        <v>1323410000</v>
      </c>
      <c r="V30" s="32">
        <v>162980000</v>
      </c>
      <c r="W30" s="26">
        <f t="shared" si="5"/>
        <v>1486390000</v>
      </c>
      <c r="X30" s="24">
        <f t="shared" si="3"/>
        <v>99.810637854970082</v>
      </c>
      <c r="Y30" s="28">
        <f t="shared" si="1"/>
        <v>2820000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446840374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3.5817938826530797</v>
      </c>
      <c r="Q31" s="166">
        <v>53.666666666666664</v>
      </c>
      <c r="R31" s="166">
        <f>SUM(R32:R34)/3</f>
        <v>20</v>
      </c>
      <c r="S31" s="166">
        <f t="shared" si="4"/>
        <v>73.666666666666657</v>
      </c>
      <c r="T31" s="269">
        <f t="shared" si="2"/>
        <v>2.6385881602211017</v>
      </c>
      <c r="U31" s="168">
        <v>303706067</v>
      </c>
      <c r="V31" s="168">
        <f>SUM(V32:V34)</f>
        <v>72181932</v>
      </c>
      <c r="W31" s="173">
        <f t="shared" si="5"/>
        <v>375887999</v>
      </c>
      <c r="X31" s="166">
        <f t="shared" si="3"/>
        <v>84.12131509853225</v>
      </c>
      <c r="Y31" s="169">
        <f t="shared" si="1"/>
        <v>70952375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0.58602568497834739</v>
      </c>
      <c r="Q32" s="24">
        <v>65</v>
      </c>
      <c r="R32" s="24">
        <v>20</v>
      </c>
      <c r="S32" s="24">
        <f t="shared" si="4"/>
        <v>85</v>
      </c>
      <c r="T32" s="270">
        <f t="shared" si="2"/>
        <v>0.49812183223159529</v>
      </c>
      <c r="U32" s="32">
        <v>47409707</v>
      </c>
      <c r="V32" s="32">
        <v>14605781</v>
      </c>
      <c r="W32" s="26">
        <f t="shared" si="5"/>
        <v>62015488</v>
      </c>
      <c r="X32" s="24">
        <f t="shared" si="3"/>
        <v>84.826529300246477</v>
      </c>
      <c r="Y32" s="28">
        <f t="shared" si="1"/>
        <v>11093112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217" t="s">
        <v>75</v>
      </c>
      <c r="H33" s="218">
        <v>359113696</v>
      </c>
      <c r="I33" s="219" t="s">
        <v>68</v>
      </c>
      <c r="J33" s="220" t="s">
        <v>16</v>
      </c>
      <c r="K33" s="220" t="s">
        <v>17</v>
      </c>
      <c r="L33" s="221"/>
      <c r="M33" s="222"/>
      <c r="N33" s="223"/>
      <c r="O33" s="224"/>
      <c r="P33" s="225">
        <f>H33/H52*100</f>
        <v>2.8785922543107927</v>
      </c>
      <c r="Q33" s="226">
        <v>70</v>
      </c>
      <c r="R33" s="226">
        <v>15</v>
      </c>
      <c r="S33" s="226">
        <f>Q33+R33</f>
        <v>85</v>
      </c>
      <c r="T33" s="327">
        <f t="shared" si="2"/>
        <v>2.4468034161641738</v>
      </c>
      <c r="U33" s="227">
        <v>252522360</v>
      </c>
      <c r="V33" s="227">
        <v>53846151</v>
      </c>
      <c r="W33" s="228">
        <f>U33+V33</f>
        <v>306368511</v>
      </c>
      <c r="X33" s="226">
        <f>W33/H33*100</f>
        <v>85.312399502579822</v>
      </c>
      <c r="Y33" s="229">
        <f>H33-W33</f>
        <v>52745185</v>
      </c>
      <c r="Z33" s="230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312" t="s">
        <v>75</v>
      </c>
      <c r="H34" s="313">
        <v>14618078</v>
      </c>
      <c r="I34" s="314" t="s">
        <v>68</v>
      </c>
      <c r="J34" s="315" t="s">
        <v>16</v>
      </c>
      <c r="K34" s="315" t="s">
        <v>17</v>
      </c>
      <c r="L34" s="316"/>
      <c r="M34" s="317"/>
      <c r="N34" s="318"/>
      <c r="O34" s="319"/>
      <c r="P34" s="320">
        <f>H34/H52*100</f>
        <v>0.11717594336393955</v>
      </c>
      <c r="Q34" s="321">
        <v>26</v>
      </c>
      <c r="R34" s="321">
        <v>25</v>
      </c>
      <c r="S34" s="321">
        <f t="shared" si="4"/>
        <v>51</v>
      </c>
      <c r="T34" s="322">
        <f t="shared" si="2"/>
        <v>5.9759731115609165E-2</v>
      </c>
      <c r="U34" s="323">
        <v>3774000</v>
      </c>
      <c r="V34" s="323">
        <v>3730000</v>
      </c>
      <c r="W34" s="324">
        <f t="shared" si="5"/>
        <v>7504000</v>
      </c>
      <c r="X34" s="321">
        <f t="shared" si="3"/>
        <v>51.333697904745065</v>
      </c>
      <c r="Y34" s="325">
        <f t="shared" si="1"/>
        <v>7114078</v>
      </c>
      <c r="Z34" s="326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44" t="s">
        <v>75</v>
      </c>
      <c r="H35" s="245">
        <f>H36+H40+H43</f>
        <v>2767443769.0100002</v>
      </c>
      <c r="I35" s="246"/>
      <c r="J35" s="244" t="s">
        <v>16</v>
      </c>
      <c r="K35" s="244" t="s">
        <v>17</v>
      </c>
      <c r="L35" s="247"/>
      <c r="M35" s="248"/>
      <c r="N35" s="249"/>
      <c r="O35" s="250"/>
      <c r="P35" s="251">
        <f>H35/H52*100</f>
        <v>22.183342730857174</v>
      </c>
      <c r="Q35" s="252">
        <v>84.444444444444457</v>
      </c>
      <c r="R35" s="252">
        <f>(R36+R40+R43)/3</f>
        <v>5.9444444444444438</v>
      </c>
      <c r="S35" s="252">
        <f t="shared" si="4"/>
        <v>90.3888888888889</v>
      </c>
      <c r="T35" s="334">
        <f t="shared" si="2"/>
        <v>20.051277012835904</v>
      </c>
      <c r="U35" s="253">
        <v>1762687436</v>
      </c>
      <c r="V35" s="254">
        <f>V36+V40+V43</f>
        <v>723393376</v>
      </c>
      <c r="W35" s="254">
        <f t="shared" si="5"/>
        <v>2486080812</v>
      </c>
      <c r="X35" s="252">
        <f>W35/H35*100</f>
        <v>89.833110245609348</v>
      </c>
      <c r="Y35" s="255">
        <f>H35-W35</f>
        <v>281362957.01000023</v>
      </c>
      <c r="Z35" s="256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257" t="s">
        <v>75</v>
      </c>
      <c r="H36" s="258">
        <f>SUM(H37:H39)</f>
        <v>2424044780</v>
      </c>
      <c r="I36" s="259"/>
      <c r="J36" s="257" t="s">
        <v>16</v>
      </c>
      <c r="K36" s="257" t="s">
        <v>17</v>
      </c>
      <c r="L36" s="260"/>
      <c r="M36" s="261"/>
      <c r="N36" s="262"/>
      <c r="O36" s="260"/>
      <c r="P36" s="263">
        <f>H36/H52*100</f>
        <v>19.430716805104836</v>
      </c>
      <c r="Q36" s="264">
        <v>70.833333333333343</v>
      </c>
      <c r="R36" s="264">
        <f>SUM(R37:R39)/3</f>
        <v>16.333333333333332</v>
      </c>
      <c r="S36" s="264">
        <f t="shared" si="4"/>
        <v>87.166666666666671</v>
      </c>
      <c r="T36" s="335">
        <f t="shared" si="2"/>
        <v>16.937108148449717</v>
      </c>
      <c r="U36" s="265">
        <v>1657609736</v>
      </c>
      <c r="V36" s="265">
        <f>SUM(V37:V39)</f>
        <v>585288946</v>
      </c>
      <c r="W36" s="265">
        <f t="shared" si="5"/>
        <v>2242898682</v>
      </c>
      <c r="X36" s="264">
        <f>W36/H36*100</f>
        <v>92.527114206198775</v>
      </c>
      <c r="Y36" s="266">
        <f>H36-W36</f>
        <v>181146098</v>
      </c>
      <c r="Z36" s="267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0.65297304709950221</v>
      </c>
      <c r="Q37" s="24">
        <v>90</v>
      </c>
      <c r="R37" s="24">
        <v>10</v>
      </c>
      <c r="S37" s="24">
        <f>Q37+R37</f>
        <v>100</v>
      </c>
      <c r="T37" s="270">
        <f t="shared" si="2"/>
        <v>0.65297304709950221</v>
      </c>
      <c r="U37" s="32">
        <v>46961445</v>
      </c>
      <c r="V37" s="26">
        <f>11585000+22770000</f>
        <v>34355000</v>
      </c>
      <c r="W37" s="26">
        <f>U37+V37</f>
        <v>81316445</v>
      </c>
      <c r="X37" s="24">
        <f>W37/H37*100</f>
        <v>99.823159690893135</v>
      </c>
      <c r="Y37" s="28">
        <f>H37-W37</f>
        <v>144055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2.1757191304757974E-2</v>
      </c>
      <c r="Q38" s="24">
        <v>53</v>
      </c>
      <c r="R38" s="24">
        <v>16</v>
      </c>
      <c r="S38" s="24">
        <f t="shared" ref="S38" si="6">Q38+R38</f>
        <v>69</v>
      </c>
      <c r="T38" s="270">
        <f t="shared" si="2"/>
        <v>1.5012462000283002E-2</v>
      </c>
      <c r="U38" s="32">
        <v>1425000</v>
      </c>
      <c r="V38" s="26">
        <v>450000</v>
      </c>
      <c r="W38" s="26">
        <f t="shared" ref="W38" si="7">U38+V38</f>
        <v>1875000</v>
      </c>
      <c r="X38" s="24">
        <f>W38/H38*100</f>
        <v>69.079092798090102</v>
      </c>
      <c r="Y38" s="28">
        <f t="shared" ref="Y38" si="8">H38-W38</f>
        <v>839280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2339870000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18.755986566700575</v>
      </c>
      <c r="Q39" s="24">
        <v>69</v>
      </c>
      <c r="R39" s="24">
        <v>23</v>
      </c>
      <c r="S39" s="24">
        <f t="shared" si="4"/>
        <v>92</v>
      </c>
      <c r="T39" s="270">
        <f t="shared" si="2"/>
        <v>17.255507641364531</v>
      </c>
      <c r="U39" s="32">
        <v>1609223291</v>
      </c>
      <c r="V39" s="26">
        <f>522548700+28060246-125000</f>
        <v>550483946</v>
      </c>
      <c r="W39" s="26">
        <f t="shared" si="5"/>
        <v>2159707237</v>
      </c>
      <c r="X39" s="24">
        <f>W39/H39*100</f>
        <v>92.300308863312921</v>
      </c>
      <c r="Y39" s="28">
        <f t="shared" si="1"/>
        <v>180162763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338928989.00999999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2.7167951915862703</v>
      </c>
      <c r="Q40" s="166">
        <v>80.5</v>
      </c>
      <c r="R40" s="166">
        <f>SUM(R41:R42)/2</f>
        <v>1.5</v>
      </c>
      <c r="S40" s="166">
        <f>Q40+R40</f>
        <v>82</v>
      </c>
      <c r="T40" s="269">
        <f t="shared" si="2"/>
        <v>2.2277720571007418</v>
      </c>
      <c r="U40" s="168">
        <v>100765900</v>
      </c>
      <c r="V40" s="173">
        <f>SUM(V41:V42)</f>
        <v>138104430</v>
      </c>
      <c r="W40" s="173">
        <f t="shared" si="5"/>
        <v>238870330</v>
      </c>
      <c r="X40" s="166">
        <f t="shared" si="3"/>
        <v>70.477987350014544</v>
      </c>
      <c r="Y40" s="169">
        <f t="shared" si="1"/>
        <v>100058659.00999999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0.10391221525406437</v>
      </c>
      <c r="Q41" s="24">
        <v>95</v>
      </c>
      <c r="R41" s="24">
        <v>0</v>
      </c>
      <c r="S41" s="24">
        <f>Q41+R41</f>
        <v>95</v>
      </c>
      <c r="T41" s="270">
        <f t="shared" si="2"/>
        <v>9.871660449136116E-2</v>
      </c>
      <c r="U41" s="32">
        <v>12354900</v>
      </c>
      <c r="V41" s="26">
        <v>0</v>
      </c>
      <c r="W41" s="26">
        <f t="shared" si="5"/>
        <v>12354900</v>
      </c>
      <c r="X41" s="24">
        <f t="shared" si="3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325965604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2.6128829763322066</v>
      </c>
      <c r="Q42" s="24">
        <v>66</v>
      </c>
      <c r="R42" s="24">
        <v>3</v>
      </c>
      <c r="S42" s="24">
        <f>Q42+R42</f>
        <v>69</v>
      </c>
      <c r="T42" s="270">
        <f t="shared" si="2"/>
        <v>1.8028892536692225</v>
      </c>
      <c r="U42" s="32">
        <v>88411000</v>
      </c>
      <c r="V42" s="26">
        <f>50015000+88089430</f>
        <v>138104430</v>
      </c>
      <c r="W42" s="26">
        <f t="shared" si="5"/>
        <v>226515430</v>
      </c>
      <c r="X42" s="24">
        <f t="shared" si="3"/>
        <v>69.490592633203107</v>
      </c>
      <c r="Y42" s="28">
        <f t="shared" si="1"/>
        <v>99450174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3.5830734166065456E-2</v>
      </c>
      <c r="Q43" s="166">
        <v>96</v>
      </c>
      <c r="R43" s="166">
        <f>R44</f>
        <v>0</v>
      </c>
      <c r="S43" s="166">
        <f>Q43+R43</f>
        <v>96</v>
      </c>
      <c r="T43" s="269">
        <f t="shared" si="2"/>
        <v>3.4397504799422836E-2</v>
      </c>
      <c r="U43" s="168">
        <v>4311800</v>
      </c>
      <c r="V43" s="173">
        <f>SUM(V44)</f>
        <v>0</v>
      </c>
      <c r="W43" s="173">
        <f t="shared" si="5"/>
        <v>4311800</v>
      </c>
      <c r="X43" s="166">
        <f t="shared" si="3"/>
        <v>96.460850111856828</v>
      </c>
      <c r="Y43" s="169">
        <f t="shared" si="1"/>
        <v>158200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3.5830734166065456E-2</v>
      </c>
      <c r="Q44" s="24">
        <v>96</v>
      </c>
      <c r="R44" s="24">
        <v>0</v>
      </c>
      <c r="S44" s="24">
        <f>Q44+R44</f>
        <v>96</v>
      </c>
      <c r="T44" s="270">
        <f t="shared" si="2"/>
        <v>3.4397504799422836E-2</v>
      </c>
      <c r="U44" s="32">
        <v>4311800</v>
      </c>
      <c r="V44" s="26">
        <v>0</v>
      </c>
      <c r="W44" s="26">
        <f t="shared" si="5"/>
        <v>4311800</v>
      </c>
      <c r="X44" s="24">
        <f t="shared" si="3"/>
        <v>96.460850111856828</v>
      </c>
      <c r="Y44" s="28">
        <f t="shared" si="1"/>
        <v>158200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1324908405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10.620232853230601</v>
      </c>
      <c r="Q45" s="187">
        <v>31.833333333333336</v>
      </c>
      <c r="R45" s="187">
        <f>(R46+R50)/2</f>
        <v>40</v>
      </c>
      <c r="S45" s="187">
        <f>(S46+S50)/2</f>
        <v>71</v>
      </c>
      <c r="T45" s="268">
        <f t="shared" si="2"/>
        <v>7.5403653257937266</v>
      </c>
      <c r="U45" s="188">
        <v>525778632</v>
      </c>
      <c r="V45" s="189">
        <f>V46+V50</f>
        <v>586237978</v>
      </c>
      <c r="W45" s="189">
        <f t="shared" si="5"/>
        <v>1112016610</v>
      </c>
      <c r="X45" s="187">
        <f t="shared" si="3"/>
        <v>83.931583934664516</v>
      </c>
      <c r="Y45" s="190">
        <f t="shared" si="1"/>
        <v>212891795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829908405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6.6523998751092588</v>
      </c>
      <c r="Q46" s="166">
        <f>(Q47+Q48+Q49)/3</f>
        <v>49</v>
      </c>
      <c r="R46" s="166">
        <f>SUM(R47:R49)/3</f>
        <v>15</v>
      </c>
      <c r="S46" s="166">
        <f t="shared" si="4"/>
        <v>64</v>
      </c>
      <c r="T46" s="269">
        <f t="shared" si="2"/>
        <v>4.2575359200699259</v>
      </c>
      <c r="U46" s="168">
        <v>462938132</v>
      </c>
      <c r="V46" s="173">
        <f>SUM(V47:V49)</f>
        <v>334579915</v>
      </c>
      <c r="W46" s="173">
        <f t="shared" si="5"/>
        <v>797518047</v>
      </c>
      <c r="X46" s="166">
        <f t="shared" si="3"/>
        <v>96.097116524563944</v>
      </c>
      <c r="Y46" s="169">
        <f t="shared" si="1"/>
        <v>32390358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710559600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5.6957208359610298</v>
      </c>
      <c r="Q47" s="24">
        <v>62</v>
      </c>
      <c r="R47" s="24">
        <v>35</v>
      </c>
      <c r="S47" s="24">
        <f t="shared" si="4"/>
        <v>97</v>
      </c>
      <c r="T47" s="270">
        <f t="shared" si="2"/>
        <v>5.5248492108821994</v>
      </c>
      <c r="U47" s="26">
        <v>362005431</v>
      </c>
      <c r="V47" s="26">
        <f>294390350+28427765</f>
        <v>322818115</v>
      </c>
      <c r="W47" s="26">
        <f t="shared" si="5"/>
        <v>684823546</v>
      </c>
      <c r="X47" s="24">
        <f t="shared" si="3"/>
        <v>96.378058364140045</v>
      </c>
      <c r="Y47" s="28">
        <f t="shared" si="1"/>
        <v>25736054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291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4"/>
        <v>0</v>
      </c>
      <c r="T48" s="270">
        <f t="shared" si="2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7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0.95667903914822894</v>
      </c>
      <c r="Q49" s="24">
        <v>85</v>
      </c>
      <c r="R49" s="24">
        <v>10</v>
      </c>
      <c r="S49" s="24">
        <f t="shared" si="4"/>
        <v>95</v>
      </c>
      <c r="T49" s="270">
        <f t="shared" si="2"/>
        <v>0.90884508719081747</v>
      </c>
      <c r="U49" s="26">
        <v>100932701</v>
      </c>
      <c r="V49" s="26">
        <v>11761800</v>
      </c>
      <c r="W49" s="26">
        <f t="shared" si="5"/>
        <v>112694501</v>
      </c>
      <c r="X49" s="24">
        <f t="shared" si="3"/>
        <v>94.424490467248503</v>
      </c>
      <c r="Y49" s="28">
        <f t="shared" si="1"/>
        <v>6654304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495000000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3.9678329781213426</v>
      </c>
      <c r="Q50" s="166">
        <v>13</v>
      </c>
      <c r="R50" s="166">
        <f>R51</f>
        <v>65</v>
      </c>
      <c r="S50" s="166">
        <f t="shared" si="4"/>
        <v>78</v>
      </c>
      <c r="T50" s="269">
        <f t="shared" si="2"/>
        <v>3.0949097229346472</v>
      </c>
      <c r="U50" s="168">
        <v>62840500</v>
      </c>
      <c r="V50" s="173">
        <f>SUM(V51)</f>
        <v>251658063</v>
      </c>
      <c r="W50" s="173">
        <f t="shared" si="5"/>
        <v>314498563</v>
      </c>
      <c r="X50" s="166">
        <f t="shared" si="3"/>
        <v>63.535063232323232</v>
      </c>
      <c r="Y50" s="169">
        <f t="shared" si="1"/>
        <v>180501437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495000000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3.9678329781213426</v>
      </c>
      <c r="Q51" s="24">
        <v>13</v>
      </c>
      <c r="R51" s="24">
        <v>65</v>
      </c>
      <c r="S51" s="24">
        <f t="shared" si="4"/>
        <v>78</v>
      </c>
      <c r="T51" s="270">
        <f t="shared" si="2"/>
        <v>3.0949097229346472</v>
      </c>
      <c r="U51" s="26">
        <v>62840500</v>
      </c>
      <c r="V51" s="26">
        <f>147698753+103959310</f>
        <v>251658063</v>
      </c>
      <c r="W51" s="26">
        <f t="shared" si="5"/>
        <v>314498563</v>
      </c>
      <c r="X51" s="24">
        <f t="shared" si="3"/>
        <v>63.535063232323232</v>
      </c>
      <c r="Y51" s="28">
        <f t="shared" si="1"/>
        <v>180501437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290">
        <f>H15+H35+H45</f>
        <v>12475323501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67.040370370370368</v>
      </c>
      <c r="R52" s="120">
        <f>R14</f>
        <v>22.081481481481479</v>
      </c>
      <c r="S52" s="120">
        <f>S14</f>
        <v>89.121851851851844</v>
      </c>
      <c r="T52" s="120">
        <f>T14</f>
        <v>89.121851851851844</v>
      </c>
      <c r="U52" s="121">
        <v>8907229481</v>
      </c>
      <c r="V52" s="121">
        <f>V15+V35+V45</f>
        <v>2316538949</v>
      </c>
      <c r="W52" s="121">
        <f t="shared" si="5"/>
        <v>11223768430</v>
      </c>
      <c r="X52" s="122">
        <f t="shared" si="3"/>
        <v>89.967754576467073</v>
      </c>
      <c r="Y52" s="123">
        <f t="shared" si="1"/>
        <v>1251555071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58"/>
      <c r="I54" s="337"/>
      <c r="J54" s="60"/>
      <c r="K54" s="58"/>
      <c r="L54" s="58"/>
      <c r="M54" s="58"/>
      <c r="N54" s="58"/>
      <c r="O54" s="61"/>
      <c r="P54" s="62"/>
      <c r="Q54" s="58"/>
      <c r="R54" s="58"/>
      <c r="S54" s="58"/>
      <c r="T54" s="58"/>
      <c r="U54" s="63"/>
      <c r="V54" s="63"/>
      <c r="W54" s="63"/>
      <c r="X54" s="58"/>
      <c r="Y54" s="58"/>
      <c r="Z54" s="58"/>
    </row>
    <row r="55" spans="1:26" x14ac:dyDescent="0.45">
      <c r="A55" s="58"/>
      <c r="B55" s="58"/>
      <c r="C55" s="58"/>
      <c r="D55" s="58"/>
      <c r="E55" s="58"/>
      <c r="F55" s="58"/>
      <c r="G55" s="58"/>
      <c r="H55" s="338"/>
      <c r="I55" s="337"/>
      <c r="J55" s="60"/>
      <c r="K55" s="58"/>
      <c r="L55" s="58"/>
      <c r="M55" s="58"/>
      <c r="N55" s="58"/>
      <c r="O55" s="61"/>
      <c r="P55" s="62"/>
      <c r="Q55" s="58"/>
      <c r="R55" s="58"/>
      <c r="S55" s="58"/>
      <c r="T55" s="58"/>
      <c r="U55" s="63"/>
      <c r="V55" s="63"/>
      <c r="W55" s="63"/>
      <c r="X55" s="58"/>
      <c r="Y55" s="58"/>
      <c r="Z55" s="58"/>
    </row>
    <row r="56" spans="1:26" x14ac:dyDescent="0.45">
      <c r="A56" s="58"/>
      <c r="B56" s="58"/>
      <c r="C56" s="58"/>
      <c r="D56" s="58"/>
      <c r="E56" s="58"/>
      <c r="I56" s="64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63"/>
      <c r="V56" s="63"/>
      <c r="W56" s="63"/>
      <c r="X56" s="58"/>
      <c r="Y56" s="65"/>
      <c r="Z56" s="58"/>
    </row>
    <row r="57" spans="1:26" s="72" customFormat="1" ht="15" x14ac:dyDescent="0.45">
      <c r="I57" s="73"/>
      <c r="J57" s="83"/>
      <c r="V57" s="72" t="s">
        <v>146</v>
      </c>
    </row>
    <row r="58" spans="1:26" s="72" customFormat="1" ht="15" customHeight="1" x14ac:dyDescent="0.45">
      <c r="F58" s="332">
        <v>1261667503</v>
      </c>
      <c r="H58" s="73"/>
      <c r="I58" s="73"/>
      <c r="T58" s="284"/>
      <c r="V58" s="285"/>
      <c r="W58" s="285"/>
      <c r="X58" s="284"/>
      <c r="Y58" s="286"/>
    </row>
    <row r="59" spans="1:26" s="72" customFormat="1" ht="15" customHeight="1" x14ac:dyDescent="0.45">
      <c r="F59" s="332">
        <v>453945369</v>
      </c>
      <c r="I59" s="73"/>
      <c r="O59" s="371"/>
      <c r="P59" s="371"/>
      <c r="V59" s="72" t="s">
        <v>88</v>
      </c>
    </row>
    <row r="60" spans="1:26" s="72" customFormat="1" ht="15" customHeight="1" x14ac:dyDescent="0.45">
      <c r="F60" s="332">
        <f>SUM(F57:F59)</f>
        <v>1715612872</v>
      </c>
      <c r="H60" s="330"/>
      <c r="I60" s="73"/>
      <c r="V60" s="72" t="s">
        <v>27</v>
      </c>
    </row>
    <row r="61" spans="1:26" s="72" customFormat="1" ht="15" customHeight="1" x14ac:dyDescent="0.45">
      <c r="F61" s="333"/>
      <c r="H61" s="331"/>
      <c r="I61" s="73"/>
    </row>
    <row r="62" spans="1:26" s="72" customFormat="1" ht="15" customHeight="1" x14ac:dyDescent="0.45">
      <c r="I62" s="73"/>
      <c r="V62" s="284"/>
      <c r="W62" s="285"/>
      <c r="X62" s="284"/>
      <c r="Y62" s="287"/>
    </row>
    <row r="63" spans="1:26" s="72" customFormat="1" ht="15" customHeight="1" x14ac:dyDescent="0.45">
      <c r="I63" s="73"/>
      <c r="V63" s="284"/>
      <c r="W63" s="285"/>
      <c r="X63" s="284"/>
      <c r="Y63" s="284"/>
    </row>
    <row r="64" spans="1:26" s="72" customFormat="1" ht="15" customHeight="1" x14ac:dyDescent="0.45">
      <c r="I64" s="73"/>
      <c r="V64" s="284"/>
      <c r="W64" s="285"/>
      <c r="X64" s="284"/>
      <c r="Y64" s="284"/>
    </row>
    <row r="65" spans="9:25" s="72" customFormat="1" ht="15" customHeight="1" x14ac:dyDescent="0.45">
      <c r="I65" s="73"/>
      <c r="V65" s="72" t="s">
        <v>89</v>
      </c>
    </row>
    <row r="66" spans="9:25" s="72" customFormat="1" ht="15" customHeight="1" x14ac:dyDescent="0.45">
      <c r="I66" s="73"/>
      <c r="V66" s="72" t="s">
        <v>63</v>
      </c>
    </row>
    <row r="67" spans="9:25" s="72" customFormat="1" ht="15" x14ac:dyDescent="0.45">
      <c r="I67" s="73"/>
      <c r="V67" s="72" t="s">
        <v>90</v>
      </c>
    </row>
    <row r="68" spans="9:25" s="72" customFormat="1" ht="15" x14ac:dyDescent="0.45">
      <c r="T68" s="284"/>
      <c r="U68" s="284"/>
      <c r="V68" s="284"/>
      <c r="W68" s="284"/>
      <c r="X68" s="284"/>
      <c r="Y68" s="284"/>
    </row>
    <row r="69" spans="9:25" s="72" customFormat="1" ht="15" x14ac:dyDescent="0.45"/>
    <row r="98" spans="6:8" x14ac:dyDescent="0.45">
      <c r="F98" s="58"/>
      <c r="G98" s="58"/>
      <c r="H98" s="60"/>
    </row>
    <row r="99" spans="6:8" ht="15" x14ac:dyDescent="0.45">
      <c r="F99" s="289"/>
      <c r="G99" s="72"/>
      <c r="H99" s="336"/>
    </row>
  </sheetData>
  <mergeCells count="31">
    <mergeCell ref="A12:E12"/>
    <mergeCell ref="F52:G52"/>
    <mergeCell ref="O59:P59"/>
    <mergeCell ref="E9:E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K10:K11"/>
    <mergeCell ref="W10:X10"/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Y8:Y11"/>
    <mergeCell ref="Z8:Z11"/>
    <mergeCell ref="A9:A11"/>
    <mergeCell ref="B9:B11"/>
    <mergeCell ref="C9:C11"/>
    <mergeCell ref="D9:D11"/>
  </mergeCells>
  <pageMargins left="0.3" right="0.2" top="0.75" bottom="0.75" header="0.3" footer="0.3"/>
  <pageSetup paperSize="9" scale="6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67"/>
  <sheetViews>
    <sheetView topLeftCell="A46" workbookViewId="0">
      <selection activeCell="Q17" sqref="Q17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59765625" style="1" customWidth="1"/>
    <col min="9" max="9" width="10.1328125" style="1" hidden="1" customWidth="1"/>
    <col min="10" max="10" width="9.1328125" style="1" hidden="1" customWidth="1"/>
    <col min="11" max="11" width="9.73046875" style="1" hidden="1" customWidth="1"/>
    <col min="12" max="12" width="7.86328125" style="1" hidden="1" customWidth="1"/>
    <col min="13" max="13" width="5.73046875" style="1" hidden="1" customWidth="1"/>
    <col min="14" max="14" width="9.1328125" style="1" hidden="1" customWidth="1"/>
    <col min="15" max="15" width="8.1328125" style="1" hidden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137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21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21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11767402484</v>
      </c>
      <c r="I13" s="4"/>
      <c r="J13" s="5"/>
      <c r="K13" s="5"/>
      <c r="L13" s="5"/>
      <c r="M13" s="5"/>
      <c r="N13" s="5"/>
      <c r="O13" s="5"/>
      <c r="P13" s="11"/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11767402484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/>
      <c r="R14" s="133"/>
      <c r="S14" s="133"/>
      <c r="T14" s="275"/>
      <c r="U14" s="283"/>
      <c r="V14" s="88"/>
      <c r="W14" s="88"/>
      <c r="X14" s="135"/>
      <c r="Y14" s="136"/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8503099195.9899998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72.259780419268949</v>
      </c>
      <c r="Q15" s="187"/>
      <c r="R15" s="187"/>
      <c r="S15" s="187"/>
      <c r="T15" s="268"/>
      <c r="U15" s="282"/>
      <c r="V15" s="188"/>
      <c r="W15" s="189"/>
      <c r="X15" s="187"/>
      <c r="Y15" s="190"/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19880009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0.16894135325982618</v>
      </c>
      <c r="Q16" s="166"/>
      <c r="R16" s="166"/>
      <c r="S16" s="166"/>
      <c r="T16" s="269"/>
      <c r="U16" s="168"/>
      <c r="V16" s="168"/>
      <c r="W16" s="173"/>
      <c r="X16" s="166"/>
      <c r="Y16" s="169"/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13370000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0.1136189572692787</v>
      </c>
      <c r="Q17" s="24">
        <v>54</v>
      </c>
      <c r="R17" s="24">
        <v>0</v>
      </c>
      <c r="S17" s="24">
        <f t="shared" ref="S17:S51" si="0">Q17+R17</f>
        <v>54</v>
      </c>
      <c r="T17" s="270">
        <f>P17*S17/100</f>
        <v>6.1354236925410498E-2</v>
      </c>
      <c r="U17" s="26">
        <v>7174000</v>
      </c>
      <c r="V17" s="26">
        <v>0</v>
      </c>
      <c r="W17" s="26">
        <f t="shared" ref="W17:W51" si="1">U17+V17</f>
        <v>7174000</v>
      </c>
      <c r="X17" s="292">
        <f t="shared" ref="X17:X52" si="2">W17/H17*100</f>
        <v>53.657442034405392</v>
      </c>
      <c r="Y17" s="28">
        <f t="shared" ref="Y17:Y52" si="3">H17-W17</f>
        <v>6196000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5.5322395990547467E-2</v>
      </c>
      <c r="Q18" s="24">
        <v>0</v>
      </c>
      <c r="R18" s="24">
        <v>0</v>
      </c>
      <c r="S18" s="24">
        <f>Q18+R18</f>
        <v>0</v>
      </c>
      <c r="T18" s="270">
        <f>P18*S18/100</f>
        <v>0</v>
      </c>
      <c r="U18" s="26">
        <v>0</v>
      </c>
      <c r="V18" s="26">
        <v>0</v>
      </c>
      <c r="W18" s="27">
        <f t="shared" si="1"/>
        <v>0</v>
      </c>
      <c r="X18" s="292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49.405499777073828</v>
      </c>
      <c r="Q19" s="166"/>
      <c r="R19" s="166"/>
      <c r="S19" s="166"/>
      <c r="T19" s="269"/>
      <c r="U19" s="168"/>
      <c r="V19" s="168"/>
      <c r="W19" s="168"/>
      <c r="X19" s="166"/>
      <c r="Y19" s="169"/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49.405499777073828</v>
      </c>
      <c r="Q20" s="24">
        <v>47</v>
      </c>
      <c r="R20" s="24">
        <v>9</v>
      </c>
      <c r="S20" s="24">
        <f t="shared" si="0"/>
        <v>56</v>
      </c>
      <c r="T20" s="270">
        <f>P20*S20/100</f>
        <v>27.667079875161345</v>
      </c>
      <c r="U20" s="32">
        <v>2731147106</v>
      </c>
      <c r="V20" s="26">
        <f>508835656</f>
        <v>508835656</v>
      </c>
      <c r="W20" s="26">
        <f t="shared" si="1"/>
        <v>3239982762</v>
      </c>
      <c r="X20" s="292">
        <f t="shared" si="2"/>
        <v>55.729711482680052</v>
      </c>
      <c r="Y20" s="28">
        <f t="shared" si="3"/>
        <v>2573761246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192329804.99000001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1.634428713146411</v>
      </c>
      <c r="Q21" s="166"/>
      <c r="R21" s="166"/>
      <c r="S21" s="166"/>
      <c r="T21" s="269"/>
      <c r="U21" s="168"/>
      <c r="V21" s="168"/>
      <c r="W21" s="173"/>
      <c r="X21" s="166"/>
      <c r="Y21" s="169"/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3.2873440041332407E-2</v>
      </c>
      <c r="Q22" s="24">
        <v>25</v>
      </c>
      <c r="R22" s="24">
        <v>25</v>
      </c>
      <c r="S22" s="24">
        <f t="shared" si="0"/>
        <v>50</v>
      </c>
      <c r="T22" s="270">
        <f>P22*S22/100</f>
        <v>1.6436720020666203E-2</v>
      </c>
      <c r="U22" s="32">
        <v>982200</v>
      </c>
      <c r="V22" s="32">
        <f>945200</f>
        <v>945200</v>
      </c>
      <c r="W22" s="26">
        <f t="shared" si="1"/>
        <v>1927400</v>
      </c>
      <c r="X22" s="292">
        <f t="shared" si="2"/>
        <v>49.824860728734471</v>
      </c>
      <c r="Y22" s="28">
        <f t="shared" si="3"/>
        <v>1940950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65355725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0.55539635946729471</v>
      </c>
      <c r="Q23" s="24">
        <v>19</v>
      </c>
      <c r="R23" s="24">
        <v>15</v>
      </c>
      <c r="S23" s="24">
        <f t="shared" si="0"/>
        <v>34</v>
      </c>
      <c r="T23" s="270">
        <f t="shared" ref="T23:T27" si="4">P23*S23/100</f>
        <v>0.18883476221888021</v>
      </c>
      <c r="U23" s="32">
        <v>12739350</v>
      </c>
      <c r="V23" s="32">
        <f>9271200</f>
        <v>9271200</v>
      </c>
      <c r="W23" s="26">
        <f t="shared" si="1"/>
        <v>22010550</v>
      </c>
      <c r="X23" s="292">
        <f t="shared" si="2"/>
        <v>33.678074874083336</v>
      </c>
      <c r="Y23" s="28">
        <f t="shared" si="3"/>
        <v>43345175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8.338900631080004E-2</v>
      </c>
      <c r="Q24" s="24">
        <v>16</v>
      </c>
      <c r="R24" s="24">
        <v>26</v>
      </c>
      <c r="S24" s="24">
        <f t="shared" si="0"/>
        <v>42</v>
      </c>
      <c r="T24" s="270">
        <f t="shared" si="4"/>
        <v>3.502338265053602E-2</v>
      </c>
      <c r="U24" s="32">
        <v>1586800</v>
      </c>
      <c r="V24" s="32">
        <f>2522800</f>
        <v>2522800</v>
      </c>
      <c r="W24" s="26">
        <f t="shared" si="1"/>
        <v>4109600</v>
      </c>
      <c r="X24" s="292">
        <f t="shared" si="2"/>
        <v>41.880334912236364</v>
      </c>
      <c r="Y24" s="28">
        <f t="shared" si="3"/>
        <v>5703120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5.7425672311184284E-2</v>
      </c>
      <c r="Q25" s="24">
        <v>20</v>
      </c>
      <c r="R25" s="24">
        <v>16</v>
      </c>
      <c r="S25" s="24">
        <f t="shared" si="0"/>
        <v>36</v>
      </c>
      <c r="T25" s="270">
        <f t="shared" si="4"/>
        <v>2.0673242032026345E-2</v>
      </c>
      <c r="U25" s="32">
        <v>1330000</v>
      </c>
      <c r="V25" s="32">
        <f>1064000</f>
        <v>1064000</v>
      </c>
      <c r="W25" s="26">
        <f t="shared" si="1"/>
        <v>2394000</v>
      </c>
      <c r="X25" s="292">
        <f t="shared" si="2"/>
        <v>35.427250622532931</v>
      </c>
      <c r="Y25" s="288">
        <f t="shared" si="3"/>
        <v>4363509.99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6.31575235920179E-2</v>
      </c>
      <c r="Q26" s="24">
        <v>0</v>
      </c>
      <c r="R26" s="24">
        <v>0</v>
      </c>
      <c r="S26" s="24">
        <f t="shared" si="0"/>
        <v>0</v>
      </c>
      <c r="T26" s="270">
        <f t="shared" si="4"/>
        <v>0</v>
      </c>
      <c r="U26" s="26">
        <v>0</v>
      </c>
      <c r="V26" s="26">
        <v>0</v>
      </c>
      <c r="W26" s="26">
        <f t="shared" si="1"/>
        <v>0</v>
      </c>
      <c r="X26" s="292">
        <f t="shared" si="2"/>
        <v>0</v>
      </c>
      <c r="Y26" s="28">
        <f t="shared" si="3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99103500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0.84218671142378165</v>
      </c>
      <c r="Q27" s="24">
        <v>43</v>
      </c>
      <c r="R27" s="24">
        <v>35</v>
      </c>
      <c r="S27" s="24">
        <f t="shared" si="0"/>
        <v>78</v>
      </c>
      <c r="T27" s="270">
        <f t="shared" si="4"/>
        <v>0.65690563491054976</v>
      </c>
      <c r="U27" s="32">
        <v>42207134</v>
      </c>
      <c r="V27" s="26">
        <f>34397500</f>
        <v>34397500</v>
      </c>
      <c r="W27" s="26">
        <f t="shared" si="1"/>
        <v>76604634</v>
      </c>
      <c r="X27" s="292">
        <f t="shared" si="2"/>
        <v>77.297607047177948</v>
      </c>
      <c r="Y27" s="28">
        <f t="shared" si="3"/>
        <v>22498866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17.69532403460536</v>
      </c>
      <c r="Q28" s="166"/>
      <c r="R28" s="166"/>
      <c r="S28" s="166"/>
      <c r="T28" s="269"/>
      <c r="U28" s="168"/>
      <c r="V28" s="168"/>
      <c r="W28" s="173"/>
      <c r="X28" s="166"/>
      <c r="Y28" s="169"/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0.13596883442845617</v>
      </c>
      <c r="Q29" s="24">
        <v>9</v>
      </c>
      <c r="R29" s="24">
        <v>6</v>
      </c>
      <c r="S29" s="24">
        <f t="shared" si="0"/>
        <v>15</v>
      </c>
      <c r="T29" s="270">
        <f>P29*S29/100</f>
        <v>2.0395325164268424E-2</v>
      </c>
      <c r="U29" s="32">
        <v>1513982</v>
      </c>
      <c r="V29" s="32">
        <f>846530</f>
        <v>846530</v>
      </c>
      <c r="W29" s="26">
        <f t="shared" si="1"/>
        <v>2360512</v>
      </c>
      <c r="X29" s="292">
        <f t="shared" si="2"/>
        <v>14.7532</v>
      </c>
      <c r="Y29" s="28">
        <f t="shared" si="3"/>
        <v>13639488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17.559355200176903</v>
      </c>
      <c r="Q30" s="24">
        <v>50</v>
      </c>
      <c r="R30" s="24">
        <v>3</v>
      </c>
      <c r="S30" s="24">
        <f t="shared" si="0"/>
        <v>53</v>
      </c>
      <c r="T30" s="270">
        <f>P30*S30/100</f>
        <v>9.3064582560937588</v>
      </c>
      <c r="U30" s="32">
        <v>1014990000</v>
      </c>
      <c r="V30" s="32">
        <f>72500000</f>
        <v>72500000</v>
      </c>
      <c r="W30" s="26">
        <f t="shared" si="1"/>
        <v>1087490000</v>
      </c>
      <c r="X30" s="292">
        <f t="shared" si="2"/>
        <v>52.630330836091908</v>
      </c>
      <c r="Y30" s="28">
        <f t="shared" si="3"/>
        <v>978790000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3.3555865411835266</v>
      </c>
      <c r="Q31" s="166"/>
      <c r="R31" s="166"/>
      <c r="S31" s="166"/>
      <c r="T31" s="269"/>
      <c r="U31" s="168"/>
      <c r="V31" s="168"/>
      <c r="W31" s="173"/>
      <c r="X31" s="166"/>
      <c r="Y31" s="169"/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0.62128069554351451</v>
      </c>
      <c r="Q32" s="24">
        <v>37</v>
      </c>
      <c r="R32" s="24">
        <v>5</v>
      </c>
      <c r="S32" s="24">
        <f t="shared" si="0"/>
        <v>42</v>
      </c>
      <c r="T32" s="270">
        <f>P32*S32/100</f>
        <v>0.26093789212827612</v>
      </c>
      <c r="U32" s="32">
        <v>27037703</v>
      </c>
      <c r="V32" s="32">
        <f>3132548</f>
        <v>3132548</v>
      </c>
      <c r="W32" s="26">
        <f t="shared" si="1"/>
        <v>30170251</v>
      </c>
      <c r="X32" s="292">
        <f t="shared" si="2"/>
        <v>41.267718161748412</v>
      </c>
      <c r="Y32" s="28">
        <f t="shared" si="3"/>
        <v>42938349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2.6100806564372458</v>
      </c>
      <c r="Q33" s="24">
        <v>39</v>
      </c>
      <c r="R33" s="24">
        <v>10</v>
      </c>
      <c r="S33" s="24">
        <f>Q33+R33</f>
        <v>49</v>
      </c>
      <c r="T33" s="270">
        <f t="shared" ref="T33:T34" si="5">P33*S33/100</f>
        <v>1.2789395216542505</v>
      </c>
      <c r="U33" s="45">
        <v>117004391</v>
      </c>
      <c r="V33" s="45">
        <f>31625105</f>
        <v>31625105</v>
      </c>
      <c r="W33" s="26">
        <f>U33+V33</f>
        <v>148629496</v>
      </c>
      <c r="X33" s="292">
        <f>W33/H33*100</f>
        <v>48.391654303305373</v>
      </c>
      <c r="Y33" s="28">
        <f>H33-W33</f>
        <v>158509200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0.12422518920276611</v>
      </c>
      <c r="Q34" s="226">
        <v>0</v>
      </c>
      <c r="R34" s="226">
        <v>0</v>
      </c>
      <c r="S34" s="226">
        <f t="shared" si="0"/>
        <v>0</v>
      </c>
      <c r="T34" s="270">
        <f t="shared" si="5"/>
        <v>0</v>
      </c>
      <c r="U34" s="227">
        <v>0</v>
      </c>
      <c r="V34" s="227">
        <v>0</v>
      </c>
      <c r="W34" s="228">
        <f t="shared" si="1"/>
        <v>0</v>
      </c>
      <c r="X34" s="293">
        <f t="shared" si="2"/>
        <v>0</v>
      </c>
      <c r="Y34" s="229">
        <f t="shared" si="3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2642907480.0100002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22.459565597450506</v>
      </c>
      <c r="Q35" s="239"/>
      <c r="R35" s="239"/>
      <c r="S35" s="239"/>
      <c r="T35" s="268"/>
      <c r="U35" s="240"/>
      <c r="V35" s="241"/>
      <c r="W35" s="241"/>
      <c r="X35" s="239"/>
      <c r="Y35" s="242"/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2506664780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21.301768027466409</v>
      </c>
      <c r="Q36" s="166"/>
      <c r="R36" s="166"/>
      <c r="S36" s="166"/>
      <c r="T36" s="269"/>
      <c r="U36" s="173"/>
      <c r="V36" s="173"/>
      <c r="W36" s="173"/>
      <c r="X36" s="166"/>
      <c r="Y36" s="169"/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41460500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0.35233349123881297</v>
      </c>
      <c r="Q37" s="24">
        <v>61</v>
      </c>
      <c r="R37" s="24">
        <v>26</v>
      </c>
      <c r="S37" s="24">
        <f>Q37+R37</f>
        <v>87</v>
      </c>
      <c r="T37" s="270">
        <f>P37*S37/100</f>
        <v>0.3065301373777673</v>
      </c>
      <c r="U37" s="32">
        <v>25086445</v>
      </c>
      <c r="V37" s="26">
        <f>10799000</f>
        <v>10799000</v>
      </c>
      <c r="W37" s="26">
        <f>U37+V37</f>
        <v>35885445</v>
      </c>
      <c r="X37" s="292">
        <f>W37/H37*100</f>
        <v>86.553333896117991</v>
      </c>
      <c r="Y37" s="28">
        <f>H37-W37</f>
        <v>5575055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2.3066092994529379E-2</v>
      </c>
      <c r="Q38" s="24">
        <v>0</v>
      </c>
      <c r="R38" s="24">
        <v>0</v>
      </c>
      <c r="S38" s="24">
        <f t="shared" ref="S38" si="6">Q38+R38</f>
        <v>0</v>
      </c>
      <c r="T38" s="270">
        <f t="shared" ref="T38:T39" si="7">P38*S38/100</f>
        <v>0</v>
      </c>
      <c r="U38" s="32">
        <v>0</v>
      </c>
      <c r="V38" s="26">
        <v>0</v>
      </c>
      <c r="W38" s="26">
        <f t="shared" ref="W38" si="8">U38+V38</f>
        <v>0</v>
      </c>
      <c r="X38" s="292">
        <f>W38/H38*100</f>
        <v>0</v>
      </c>
      <c r="Y38" s="28">
        <f t="shared" ref="Y38" si="9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2462490000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20.926368443233066</v>
      </c>
      <c r="Q39" s="24">
        <v>9</v>
      </c>
      <c r="R39" s="24">
        <v>1</v>
      </c>
      <c r="S39" s="24">
        <f t="shared" si="0"/>
        <v>10</v>
      </c>
      <c r="T39" s="270">
        <f t="shared" si="7"/>
        <v>2.0926368443233065</v>
      </c>
      <c r="U39" s="32">
        <v>202451620</v>
      </c>
      <c r="V39" s="26">
        <f>18506000</f>
        <v>18506000</v>
      </c>
      <c r="W39" s="26">
        <f t="shared" si="1"/>
        <v>220957620</v>
      </c>
      <c r="X39" s="292">
        <f>W39/H39*100</f>
        <v>8.9729347124252268</v>
      </c>
      <c r="Y39" s="28">
        <f t="shared" si="3"/>
        <v>2241532380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1.119811276865645</v>
      </c>
      <c r="Q40" s="166"/>
      <c r="R40" s="166"/>
      <c r="S40" s="166"/>
      <c r="T40" s="269"/>
      <c r="U40" s="168"/>
      <c r="V40" s="173"/>
      <c r="W40" s="173"/>
      <c r="X40" s="166"/>
      <c r="Y40" s="169"/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0.11016352187856379</v>
      </c>
      <c r="Q41" s="24">
        <v>95</v>
      </c>
      <c r="R41" s="24">
        <v>0</v>
      </c>
      <c r="S41" s="24">
        <f>Q41+R41</f>
        <v>95</v>
      </c>
      <c r="T41" s="270">
        <f>P41*S41/100</f>
        <v>0.10465534578463559</v>
      </c>
      <c r="U41" s="32">
        <v>12354900</v>
      </c>
      <c r="V41" s="26">
        <v>0</v>
      </c>
      <c r="W41" s="26">
        <f t="shared" si="1"/>
        <v>12354900</v>
      </c>
      <c r="X41" s="292">
        <f t="shared" si="2"/>
        <v>95.306125602760289</v>
      </c>
      <c r="Y41" s="28">
        <f t="shared" si="3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1.009647754987081</v>
      </c>
      <c r="Q42" s="24">
        <v>31</v>
      </c>
      <c r="R42" s="24">
        <v>8</v>
      </c>
      <c r="S42" s="24">
        <f>Q42+R42</f>
        <v>39</v>
      </c>
      <c r="T42" s="270">
        <f>P42*S42/100</f>
        <v>0.39376262444496163</v>
      </c>
      <c r="U42" s="32">
        <v>36352000</v>
      </c>
      <c r="V42" s="26">
        <f>9040000</f>
        <v>9040000</v>
      </c>
      <c r="W42" s="26">
        <f t="shared" si="1"/>
        <v>45392000</v>
      </c>
      <c r="X42" s="292">
        <f t="shared" si="2"/>
        <v>38.205758529960384</v>
      </c>
      <c r="Y42" s="28">
        <f t="shared" si="3"/>
        <v>73417315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3.7986293118449949E-2</v>
      </c>
      <c r="Q43" s="166"/>
      <c r="R43" s="166"/>
      <c r="S43" s="166"/>
      <c r="T43" s="269"/>
      <c r="U43" s="168"/>
      <c r="V43" s="173"/>
      <c r="W43" s="173"/>
      <c r="X43" s="166"/>
      <c r="Y43" s="169"/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3.7986293118449949E-2</v>
      </c>
      <c r="Q44" s="24">
        <v>0</v>
      </c>
      <c r="R44" s="24">
        <v>0</v>
      </c>
      <c r="S44" s="24">
        <f>Q44+R44</f>
        <v>0</v>
      </c>
      <c r="T44" s="270">
        <f>P44*S44/100</f>
        <v>0</v>
      </c>
      <c r="U44" s="32">
        <v>0</v>
      </c>
      <c r="V44" s="26">
        <v>0</v>
      </c>
      <c r="W44" s="26">
        <f t="shared" si="1"/>
        <v>0</v>
      </c>
      <c r="X44" s="292">
        <f t="shared" si="2"/>
        <v>0</v>
      </c>
      <c r="Y44" s="28">
        <f t="shared" si="3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621395808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5.2806539832805468</v>
      </c>
      <c r="Q45" s="187"/>
      <c r="R45" s="187"/>
      <c r="S45" s="187"/>
      <c r="T45" s="268"/>
      <c r="U45" s="188"/>
      <c r="V45" s="189"/>
      <c r="W45" s="189"/>
      <c r="X45" s="187"/>
      <c r="Y45" s="190"/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563318405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4.787109183746689</v>
      </c>
      <c r="Q46" s="166"/>
      <c r="R46" s="166"/>
      <c r="S46" s="166"/>
      <c r="T46" s="269"/>
      <c r="U46" s="168"/>
      <c r="V46" s="173"/>
      <c r="W46" s="173"/>
      <c r="X46" s="166"/>
      <c r="Y46" s="169"/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443969600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3.7728768146042451</v>
      </c>
      <c r="Q47" s="24">
        <v>44</v>
      </c>
      <c r="R47" s="24">
        <v>15</v>
      </c>
      <c r="S47" s="24">
        <f t="shared" si="0"/>
        <v>59</v>
      </c>
      <c r="T47" s="270">
        <f>P47*S47/100</f>
        <v>2.2259973206165045</v>
      </c>
      <c r="U47" s="26">
        <v>191167437</v>
      </c>
      <c r="V47" s="26">
        <f>67620000</f>
        <v>67620000</v>
      </c>
      <c r="W47" s="26">
        <f t="shared" si="1"/>
        <v>258787437</v>
      </c>
      <c r="X47" s="292">
        <f t="shared" si="2"/>
        <v>58.289449773137626</v>
      </c>
      <c r="Y47" s="28">
        <f t="shared" si="3"/>
        <v>185182163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291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0"/>
        <v>0</v>
      </c>
      <c r="T48" s="270">
        <f t="shared" ref="T48:T49" si="10">P48*S48/100</f>
        <v>0</v>
      </c>
      <c r="U48" s="26">
        <v>0</v>
      </c>
      <c r="V48" s="26">
        <v>0</v>
      </c>
      <c r="W48" s="26">
        <f t="shared" si="1"/>
        <v>0</v>
      </c>
      <c r="X48" s="292">
        <v>0</v>
      </c>
      <c r="Y48" s="278">
        <f t="shared" si="3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1.014232369142444</v>
      </c>
      <c r="Q49" s="24">
        <v>0</v>
      </c>
      <c r="R49" s="24">
        <v>0</v>
      </c>
      <c r="S49" s="24">
        <f t="shared" si="0"/>
        <v>0</v>
      </c>
      <c r="T49" s="270">
        <f t="shared" si="10"/>
        <v>0</v>
      </c>
      <c r="U49" s="26">
        <v>0</v>
      </c>
      <c r="V49" s="26">
        <v>0</v>
      </c>
      <c r="W49" s="26">
        <f t="shared" si="1"/>
        <v>0</v>
      </c>
      <c r="X49" s="292">
        <f t="shared" si="2"/>
        <v>0</v>
      </c>
      <c r="Y49" s="28">
        <f t="shared" si="3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58077403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0.49354479953385777</v>
      </c>
      <c r="Q50" s="166"/>
      <c r="R50" s="166"/>
      <c r="S50" s="166"/>
      <c r="T50" s="269"/>
      <c r="U50" s="168"/>
      <c r="V50" s="173"/>
      <c r="W50" s="173"/>
      <c r="X50" s="166"/>
      <c r="Y50" s="169"/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58077403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0.49354479953385777</v>
      </c>
      <c r="Q51" s="24">
        <v>0</v>
      </c>
      <c r="R51" s="24">
        <v>0</v>
      </c>
      <c r="S51" s="24">
        <f t="shared" si="0"/>
        <v>0</v>
      </c>
      <c r="T51" s="270">
        <f>P51*S51/100</f>
        <v>0</v>
      </c>
      <c r="U51" s="26">
        <v>0</v>
      </c>
      <c r="V51" s="26">
        <v>0</v>
      </c>
      <c r="W51" s="26">
        <f t="shared" si="1"/>
        <v>0</v>
      </c>
      <c r="X51" s="292">
        <f t="shared" si="2"/>
        <v>0</v>
      </c>
      <c r="Y51" s="28">
        <f t="shared" si="3"/>
        <v>58077403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290">
        <f>H15+H35+H45</f>
        <v>11767402484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f>AVERAGE(Q17:Q51)</f>
        <v>24.958333333333332</v>
      </c>
      <c r="R52" s="120">
        <f>AVERAGE(R17:R51)</f>
        <v>8.3333333333333339</v>
      </c>
      <c r="S52" s="120">
        <f>AVERAGE(S17:S51)</f>
        <v>33.291666666666664</v>
      </c>
      <c r="T52" s="120">
        <f>P52*S52/100</f>
        <v>33.291666666666664</v>
      </c>
      <c r="U52" s="121">
        <v>4425125068</v>
      </c>
      <c r="V52" s="121">
        <f>SUM(V17:V51)</f>
        <v>771105539</v>
      </c>
      <c r="W52" s="121">
        <f>SUM(W17:W51)</f>
        <v>5196230607</v>
      </c>
      <c r="X52" s="122">
        <f t="shared" si="2"/>
        <v>44.15783869095371</v>
      </c>
      <c r="Y52" s="123">
        <f t="shared" si="3"/>
        <v>6571171877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V55" s="72" t="s">
        <v>138</v>
      </c>
    </row>
    <row r="56" spans="1:26" s="72" customFormat="1" ht="12.95" customHeight="1" x14ac:dyDescent="0.45">
      <c r="H56" s="73"/>
      <c r="I56" s="73"/>
      <c r="T56" s="284"/>
      <c r="V56" s="285"/>
      <c r="W56" s="285"/>
      <c r="X56" s="284"/>
      <c r="Y56" s="286"/>
    </row>
    <row r="57" spans="1:26" s="72" customFormat="1" ht="12.95" customHeight="1" x14ac:dyDescent="0.45">
      <c r="F57" s="289">
        <f>508835656+72500000+189769883</f>
        <v>771105539</v>
      </c>
      <c r="I57" s="73"/>
      <c r="O57" s="371"/>
      <c r="P57" s="371"/>
      <c r="V57" s="72" t="s">
        <v>88</v>
      </c>
    </row>
    <row r="58" spans="1:26" s="72" customFormat="1" ht="12.95" customHeight="1" x14ac:dyDescent="0.45">
      <c r="I58" s="73"/>
      <c r="V58" s="72" t="s">
        <v>27</v>
      </c>
    </row>
    <row r="59" spans="1:26" s="72" customFormat="1" ht="12.95" customHeight="1" x14ac:dyDescent="0.45">
      <c r="I59" s="73"/>
    </row>
    <row r="60" spans="1:26" s="72" customFormat="1" ht="12.95" customHeight="1" x14ac:dyDescent="0.45">
      <c r="I60" s="73"/>
      <c r="V60" s="284"/>
      <c r="W60" s="285"/>
      <c r="X60" s="284"/>
      <c r="Y60" s="287"/>
    </row>
    <row r="61" spans="1:26" s="72" customFormat="1" ht="12.95" customHeight="1" x14ac:dyDescent="0.45">
      <c r="I61" s="73"/>
      <c r="V61" s="284"/>
      <c r="W61" s="285"/>
      <c r="X61" s="284"/>
      <c r="Y61" s="284"/>
    </row>
    <row r="62" spans="1:26" s="72" customFormat="1" ht="12.95" customHeight="1" x14ac:dyDescent="0.45">
      <c r="I62" s="73"/>
      <c r="V62" s="284"/>
      <c r="W62" s="285"/>
      <c r="X62" s="284"/>
      <c r="Y62" s="284"/>
    </row>
    <row r="63" spans="1:26" s="72" customFormat="1" ht="12.95" customHeight="1" x14ac:dyDescent="0.45">
      <c r="I63" s="73"/>
      <c r="V63" s="72" t="s">
        <v>89</v>
      </c>
    </row>
    <row r="64" spans="1:26" s="72" customFormat="1" ht="12.95" customHeight="1" x14ac:dyDescent="0.45">
      <c r="I64" s="73"/>
      <c r="V64" s="72" t="s">
        <v>63</v>
      </c>
    </row>
    <row r="65" spans="9:25" s="72" customFormat="1" ht="12.95" customHeight="1" x14ac:dyDescent="0.45">
      <c r="I65" s="73"/>
      <c r="V65" s="72" t="s">
        <v>90</v>
      </c>
    </row>
    <row r="66" spans="9:25" s="72" customFormat="1" ht="15" x14ac:dyDescent="0.45">
      <c r="T66" s="284"/>
      <c r="U66" s="284"/>
      <c r="V66" s="284"/>
      <c r="W66" s="284"/>
      <c r="X66" s="284"/>
      <c r="Y66" s="284"/>
    </row>
    <row r="67" spans="9:25" s="72" customFormat="1" ht="15" x14ac:dyDescent="0.45"/>
  </sheetData>
  <mergeCells count="31">
    <mergeCell ref="A12:E12"/>
    <mergeCell ref="F52:G52"/>
    <mergeCell ref="O57:P57"/>
    <mergeCell ref="E9:E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K10:K11"/>
    <mergeCell ref="W10:X10"/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Y8:Y11"/>
    <mergeCell ref="Z8:Z11"/>
    <mergeCell ref="A9:A11"/>
    <mergeCell ref="B9:B11"/>
    <mergeCell ref="C9:C11"/>
    <mergeCell ref="D9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7"/>
  <sheetViews>
    <sheetView topLeftCell="H49" zoomScale="98" zoomScaleNormal="98" workbookViewId="0">
      <selection activeCell="H52" sqref="H52"/>
    </sheetView>
  </sheetViews>
  <sheetFormatPr defaultColWidth="9.1328125" defaultRowHeight="13.5" x14ac:dyDescent="0.45"/>
  <cols>
    <col min="1" max="3" width="2.73046875" style="1" customWidth="1"/>
    <col min="4" max="4" width="4.59765625" style="1" customWidth="1"/>
    <col min="5" max="5" width="2.73046875" style="1" customWidth="1"/>
    <col min="6" max="6" width="35.59765625" style="1" customWidth="1"/>
    <col min="7" max="7" width="10" style="1" customWidth="1"/>
    <col min="8" max="8" width="16.73046875" style="1" customWidth="1"/>
    <col min="9" max="9" width="10.59765625" style="1" customWidth="1"/>
    <col min="10" max="10" width="7.59765625" style="1" customWidth="1"/>
    <col min="11" max="11" width="9.73046875" style="1" customWidth="1"/>
    <col min="12" max="12" width="8.59765625" style="1" customWidth="1"/>
    <col min="13" max="13" width="7.59765625" style="1" customWidth="1"/>
    <col min="14" max="14" width="9.1328125" style="1"/>
    <col min="15" max="15" width="8.1328125" style="1" customWidth="1"/>
    <col min="16" max="16" width="7.59765625" style="1" customWidth="1"/>
    <col min="17" max="17" width="9.3984375" style="1" customWidth="1"/>
    <col min="18" max="18" width="9" style="1" customWidth="1"/>
    <col min="19" max="19" width="9.1328125" style="1" customWidth="1"/>
    <col min="20" max="20" width="8.86328125" style="1" customWidth="1"/>
    <col min="21" max="21" width="11.73046875" style="1" customWidth="1"/>
    <col min="22" max="22" width="11" style="1" customWidth="1"/>
    <col min="23" max="23" width="13" style="1" customWidth="1"/>
    <col min="24" max="24" width="6" style="1" customWidth="1"/>
    <col min="25" max="25" width="15.398437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65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12080856073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6.25" customHeight="1" x14ac:dyDescent="0.45">
      <c r="A14" s="124">
        <v>1</v>
      </c>
      <c r="B14" s="125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12080856073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f>Q15+Q35+Q45</f>
        <v>0</v>
      </c>
      <c r="R14" s="133">
        <f>R15+R35+R45/3</f>
        <v>0</v>
      </c>
      <c r="S14" s="133">
        <f>Q14+R14</f>
        <v>0</v>
      </c>
      <c r="T14" s="134">
        <f>(P14*S14)/100</f>
        <v>0</v>
      </c>
      <c r="U14" s="88">
        <f>U15+U35+U45</f>
        <v>0</v>
      </c>
      <c r="V14" s="88">
        <f>V15+V35+V45</f>
        <v>0</v>
      </c>
      <c r="W14" s="88">
        <f t="shared" ref="W14" si="0">U14+V14</f>
        <v>0</v>
      </c>
      <c r="X14" s="135">
        <f>W14/H14*100</f>
        <v>0</v>
      </c>
      <c r="Y14" s="136">
        <f t="shared" ref="Y14:Y52" si="1">H14-W14</f>
        <v>12080856073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194">
        <f>H16+H19+H21+H28+H31</f>
        <v>8647983653.9899998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71.584195703793966</v>
      </c>
      <c r="Q15" s="187">
        <f>AVERAGE(Q16,Q19,Q21,Q28,Q31)</f>
        <v>0</v>
      </c>
      <c r="R15" s="187">
        <f>R16+R19+R21+R28+R31/5</f>
        <v>0</v>
      </c>
      <c r="S15" s="187">
        <f t="shared" ref="S15:S51" si="2">Q15+R15</f>
        <v>0</v>
      </c>
      <c r="T15" s="187">
        <f t="shared" ref="T15:T52" si="3">(P15*S15)/100</f>
        <v>0</v>
      </c>
      <c r="U15" s="188">
        <f>U16+U19+U21+U28+U31</f>
        <v>0</v>
      </c>
      <c r="V15" s="188">
        <f>V16+V19+V21+V28+V31</f>
        <v>0</v>
      </c>
      <c r="W15" s="189">
        <f>U15+V15</f>
        <v>0</v>
      </c>
      <c r="X15" s="187">
        <f t="shared" ref="X15:X52" si="4">W15/H15*100</f>
        <v>0</v>
      </c>
      <c r="Y15" s="190">
        <f t="shared" si="1"/>
        <v>8647983653.9899998</v>
      </c>
      <c r="Z15" s="195"/>
    </row>
    <row r="16" spans="1:26" ht="29.25" customHeight="1" x14ac:dyDescent="0.45">
      <c r="A16" s="137">
        <v>1</v>
      </c>
      <c r="B16" s="138" t="s">
        <v>72</v>
      </c>
      <c r="C16" s="139">
        <v>1</v>
      </c>
      <c r="D16" s="140" t="s">
        <v>42</v>
      </c>
      <c r="E16" s="141"/>
      <c r="F16" s="142" t="s">
        <v>56</v>
      </c>
      <c r="G16" s="143" t="s">
        <v>75</v>
      </c>
      <c r="H16" s="144">
        <f>SUM(H17:H18)</f>
        <v>33250009</v>
      </c>
      <c r="I16" s="145"/>
      <c r="J16" s="143" t="s">
        <v>16</v>
      </c>
      <c r="K16" s="143" t="s">
        <v>17</v>
      </c>
      <c r="L16" s="146"/>
      <c r="M16" s="143"/>
      <c r="N16" s="147"/>
      <c r="O16" s="146"/>
      <c r="P16" s="148">
        <f>H16/H52*100</f>
        <v>0.27522891423490931</v>
      </c>
      <c r="Q16" s="149">
        <f>AVERAGE(Q17:Q18)</f>
        <v>0</v>
      </c>
      <c r="R16" s="149">
        <f>SUM(R17:R18)</f>
        <v>0</v>
      </c>
      <c r="S16" s="149">
        <f t="shared" si="2"/>
        <v>0</v>
      </c>
      <c r="T16" s="149">
        <f t="shared" si="3"/>
        <v>0</v>
      </c>
      <c r="U16" s="150">
        <f>SUM(U17:U18)</f>
        <v>0</v>
      </c>
      <c r="V16" s="150">
        <f>SUM(V17:V18)</f>
        <v>0</v>
      </c>
      <c r="W16" s="151">
        <f t="shared" ref="W16:W52" si="5">U16+V16</f>
        <v>0</v>
      </c>
      <c r="X16" s="149">
        <f t="shared" si="4"/>
        <v>0</v>
      </c>
      <c r="Y16" s="152">
        <f t="shared" si="1"/>
        <v>33250009</v>
      </c>
      <c r="Z16" s="153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26740000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0.22134193006207831</v>
      </c>
      <c r="Q17" s="24">
        <v>0</v>
      </c>
      <c r="R17" s="24">
        <v>0</v>
      </c>
      <c r="S17" s="24">
        <f t="shared" si="2"/>
        <v>0</v>
      </c>
      <c r="T17" s="24">
        <f t="shared" si="3"/>
        <v>0</v>
      </c>
      <c r="U17" s="26">
        <v>0</v>
      </c>
      <c r="V17" s="26">
        <v>0</v>
      </c>
      <c r="W17" s="27">
        <f t="shared" si="5"/>
        <v>0</v>
      </c>
      <c r="X17" s="24">
        <f t="shared" si="4"/>
        <v>0</v>
      </c>
      <c r="Y17" s="28">
        <f t="shared" si="1"/>
        <v>26740000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5.3886984172830978E-2</v>
      </c>
      <c r="Q18" s="24">
        <v>0</v>
      </c>
      <c r="R18" s="24">
        <v>0</v>
      </c>
      <c r="S18" s="24">
        <f>Q18+R18</f>
        <v>0</v>
      </c>
      <c r="T18" s="24">
        <f>(P18*S18)/100</f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48.123609559370337</v>
      </c>
      <c r="Q19" s="166">
        <f>AVERAGE(Q20)</f>
        <v>0</v>
      </c>
      <c r="R19" s="166">
        <f>R20</f>
        <v>0</v>
      </c>
      <c r="S19" s="166">
        <f t="shared" si="2"/>
        <v>0</v>
      </c>
      <c r="T19" s="166">
        <f t="shared" si="3"/>
        <v>0</v>
      </c>
      <c r="U19" s="168">
        <f>SUM(U20)</f>
        <v>0</v>
      </c>
      <c r="V19" s="168">
        <f>SUM(V20)</f>
        <v>0</v>
      </c>
      <c r="W19" s="168">
        <f t="shared" si="5"/>
        <v>0</v>
      </c>
      <c r="X19" s="166">
        <f t="shared" si="4"/>
        <v>0</v>
      </c>
      <c r="Y19" s="169">
        <f t="shared" si="1"/>
        <v>5813744008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48.123609559370337</v>
      </c>
      <c r="Q20" s="24">
        <v>0</v>
      </c>
      <c r="R20" s="24">
        <v>0</v>
      </c>
      <c r="S20" s="24">
        <f t="shared" si="2"/>
        <v>0</v>
      </c>
      <c r="T20" s="24">
        <f>(P20*S20)/100</f>
        <v>0</v>
      </c>
      <c r="U20" s="32">
        <v>0</v>
      </c>
      <c r="V20" s="26">
        <v>0</v>
      </c>
      <c r="W20" s="26">
        <f t="shared" si="5"/>
        <v>0</v>
      </c>
      <c r="X20" s="24">
        <f t="shared" si="4"/>
        <v>0</v>
      </c>
      <c r="Y20" s="28">
        <f t="shared" si="1"/>
        <v>5813744008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323844262.99000001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2.6806400228024634</v>
      </c>
      <c r="Q21" s="166">
        <f>AVERAGE(Q22:Q27)</f>
        <v>0</v>
      </c>
      <c r="R21" s="166">
        <f>(SUM(R22:R27))/6</f>
        <v>0</v>
      </c>
      <c r="S21" s="166">
        <f t="shared" si="2"/>
        <v>0</v>
      </c>
      <c r="T21" s="166">
        <f t="shared" si="3"/>
        <v>0</v>
      </c>
      <c r="U21" s="168">
        <f>SUM(U22:U27)</f>
        <v>0</v>
      </c>
      <c r="V21" s="168">
        <f>SUM(V22:V27)</f>
        <v>0</v>
      </c>
      <c r="W21" s="173">
        <f t="shared" si="5"/>
        <v>0</v>
      </c>
      <c r="X21" s="166">
        <f>W21/H21*100</f>
        <v>0</v>
      </c>
      <c r="Y21" s="169">
        <f t="shared" si="1"/>
        <v>323844262.99000001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3.2020495705147367E-2</v>
      </c>
      <c r="Q22" s="24">
        <v>0</v>
      </c>
      <c r="R22" s="24">
        <v>0</v>
      </c>
      <c r="S22" s="24">
        <f t="shared" si="2"/>
        <v>0</v>
      </c>
      <c r="T22" s="24">
        <f t="shared" si="3"/>
        <v>0</v>
      </c>
      <c r="U22" s="32">
        <v>0</v>
      </c>
      <c r="V22" s="32">
        <v>0</v>
      </c>
      <c r="W22" s="26">
        <f t="shared" si="5"/>
        <v>0</v>
      </c>
      <c r="X22" s="24">
        <f t="shared" si="4"/>
        <v>0</v>
      </c>
      <c r="Y22" s="28">
        <f t="shared" si="1"/>
        <v>3868350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94919208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0.78569935297995008</v>
      </c>
      <c r="Q23" s="24">
        <v>0</v>
      </c>
      <c r="R23" s="24">
        <v>0</v>
      </c>
      <c r="S23" s="24">
        <f t="shared" si="2"/>
        <v>0</v>
      </c>
      <c r="T23" s="24">
        <f t="shared" si="3"/>
        <v>0</v>
      </c>
      <c r="U23" s="32">
        <v>0</v>
      </c>
      <c r="V23" s="32">
        <v>0</v>
      </c>
      <c r="W23" s="26">
        <f t="shared" si="5"/>
        <v>0</v>
      </c>
      <c r="X23" s="24">
        <f t="shared" si="4"/>
        <v>0</v>
      </c>
      <c r="Y23" s="28">
        <f t="shared" si="1"/>
        <v>94919208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8.1225369631965486E-2</v>
      </c>
      <c r="Q24" s="24">
        <v>0</v>
      </c>
      <c r="R24" s="24">
        <v>0</v>
      </c>
      <c r="S24" s="24">
        <f t="shared" si="2"/>
        <v>0</v>
      </c>
      <c r="T24" s="24">
        <f t="shared" si="3"/>
        <v>0</v>
      </c>
      <c r="U24" s="32">
        <v>0</v>
      </c>
      <c r="V24" s="32">
        <v>0</v>
      </c>
      <c r="W24" s="26">
        <f t="shared" si="5"/>
        <v>0</v>
      </c>
      <c r="X24" s="24">
        <f t="shared" si="4"/>
        <v>0</v>
      </c>
      <c r="Y24" s="28">
        <f t="shared" si="1"/>
        <v>9812720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9604984.9900000002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7.9505830811663875E-2</v>
      </c>
      <c r="Q25" s="24">
        <v>0</v>
      </c>
      <c r="R25" s="24">
        <v>0</v>
      </c>
      <c r="S25" s="24">
        <f t="shared" si="2"/>
        <v>0</v>
      </c>
      <c r="T25" s="24">
        <f t="shared" si="3"/>
        <v>0</v>
      </c>
      <c r="U25" s="32">
        <v>0</v>
      </c>
      <c r="V25" s="32">
        <v>0</v>
      </c>
      <c r="W25" s="26">
        <f t="shared" si="5"/>
        <v>0</v>
      </c>
      <c r="X25" s="24">
        <f t="shared" si="4"/>
        <v>0</v>
      </c>
      <c r="Y25" s="28">
        <f t="shared" si="1"/>
        <v>9604984.9900000002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34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6.151881915562326E-2</v>
      </c>
      <c r="Q26" s="24">
        <v>0</v>
      </c>
      <c r="R26" s="24">
        <v>0</v>
      </c>
      <c r="S26" s="24">
        <f t="shared" si="2"/>
        <v>0</v>
      </c>
      <c r="T26" s="24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198207000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1.6406701545181135</v>
      </c>
      <c r="Q27" s="24">
        <v>0</v>
      </c>
      <c r="R27" s="24">
        <v>0</v>
      </c>
      <c r="S27" s="24">
        <f t="shared" si="2"/>
        <v>0</v>
      </c>
      <c r="T27" s="24">
        <f t="shared" si="3"/>
        <v>0</v>
      </c>
      <c r="U27" s="32">
        <v>0</v>
      </c>
      <c r="V27" s="26">
        <v>0</v>
      </c>
      <c r="W27" s="26">
        <f t="shared" si="5"/>
        <v>0</v>
      </c>
      <c r="X27" s="24">
        <f t="shared" si="4"/>
        <v>0</v>
      </c>
      <c r="Y27" s="28">
        <f t="shared" si="1"/>
        <v>198207000</v>
      </c>
      <c r="Z27" s="29"/>
    </row>
    <row r="28" spans="1:26" ht="27.7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17.236195741573091</v>
      </c>
      <c r="Q28" s="166">
        <f>AVERAGE(Q29:Q30)</f>
        <v>0</v>
      </c>
      <c r="R28" s="166">
        <f>SUM(R29:R30)/2</f>
        <v>0</v>
      </c>
      <c r="S28" s="166">
        <f t="shared" si="2"/>
        <v>0</v>
      </c>
      <c r="T28" s="166">
        <f t="shared" si="3"/>
        <v>0</v>
      </c>
      <c r="U28" s="168">
        <f>SUM(U29:U30)</f>
        <v>0</v>
      </c>
      <c r="V28" s="168">
        <f>SUM(V29:V30)</f>
        <v>0</v>
      </c>
      <c r="W28" s="173">
        <f t="shared" si="5"/>
        <v>0</v>
      </c>
      <c r="X28" s="166">
        <f t="shared" si="4"/>
        <v>0</v>
      </c>
      <c r="Y28" s="169">
        <f t="shared" si="1"/>
        <v>2082280000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0.13244094543729443</v>
      </c>
      <c r="Q29" s="24">
        <v>0</v>
      </c>
      <c r="R29" s="24">
        <v>0</v>
      </c>
      <c r="S29" s="24">
        <f t="shared" si="2"/>
        <v>0</v>
      </c>
      <c r="T29" s="24">
        <f t="shared" si="3"/>
        <v>0</v>
      </c>
      <c r="U29" s="32">
        <v>0</v>
      </c>
      <c r="V29" s="32">
        <v>0</v>
      </c>
      <c r="W29" s="26">
        <f t="shared" si="5"/>
        <v>0</v>
      </c>
      <c r="X29" s="24">
        <f t="shared" si="4"/>
        <v>0</v>
      </c>
      <c r="Y29" s="28">
        <f t="shared" si="1"/>
        <v>16000000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17.103754796135796</v>
      </c>
      <c r="Q30" s="24">
        <v>0</v>
      </c>
      <c r="R30" s="24">
        <v>0</v>
      </c>
      <c r="S30" s="24">
        <f t="shared" si="2"/>
        <v>0</v>
      </c>
      <c r="T30" s="24">
        <f t="shared" si="3"/>
        <v>0</v>
      </c>
      <c r="U30" s="32">
        <v>0</v>
      </c>
      <c r="V30" s="32">
        <v>0</v>
      </c>
      <c r="W30" s="26">
        <f t="shared" si="5"/>
        <v>0</v>
      </c>
      <c r="X30" s="24">
        <f t="shared" si="4"/>
        <v>0</v>
      </c>
      <c r="Y30" s="28">
        <f t="shared" si="1"/>
        <v>2066280000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3.268521465813178</v>
      </c>
      <c r="Q31" s="166">
        <f>AVERAGE(Q32:Q34)</f>
        <v>0</v>
      </c>
      <c r="R31" s="166">
        <f>SUM(R32:R34)/3</f>
        <v>0</v>
      </c>
      <c r="S31" s="166">
        <f t="shared" si="2"/>
        <v>0</v>
      </c>
      <c r="T31" s="166">
        <f t="shared" si="3"/>
        <v>0</v>
      </c>
      <c r="U31" s="168">
        <f>SUM(U32:U34)</f>
        <v>0</v>
      </c>
      <c r="V31" s="168">
        <f>SUM(V32:V34)</f>
        <v>0</v>
      </c>
      <c r="W31" s="173">
        <f t="shared" si="5"/>
        <v>0</v>
      </c>
      <c r="X31" s="166">
        <f t="shared" si="4"/>
        <v>0</v>
      </c>
      <c r="Y31" s="169">
        <f t="shared" si="1"/>
        <v>394865374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0.60516075647481138</v>
      </c>
      <c r="Q32" s="24">
        <v>0</v>
      </c>
      <c r="R32" s="24">
        <v>0</v>
      </c>
      <c r="S32" s="24">
        <f t="shared" si="2"/>
        <v>0</v>
      </c>
      <c r="T32" s="24">
        <f t="shared" si="3"/>
        <v>0</v>
      </c>
      <c r="U32" s="32">
        <v>0</v>
      </c>
      <c r="V32" s="32">
        <v>0</v>
      </c>
      <c r="W32" s="26">
        <f t="shared" si="5"/>
        <v>0</v>
      </c>
      <c r="X32" s="24">
        <f t="shared" si="4"/>
        <v>0</v>
      </c>
      <c r="Y32" s="28">
        <f t="shared" si="1"/>
        <v>73108600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2.5423587049136098</v>
      </c>
      <c r="Q33" s="24">
        <v>0</v>
      </c>
      <c r="R33" s="24">
        <v>0</v>
      </c>
      <c r="S33" s="24">
        <f>Q33+R33</f>
        <v>0</v>
      </c>
      <c r="T33" s="24">
        <f>(P33*S33)/100</f>
        <v>0</v>
      </c>
      <c r="U33" s="45">
        <v>0</v>
      </c>
      <c r="V33" s="45">
        <v>0</v>
      </c>
      <c r="W33" s="26">
        <f>U33+V33</f>
        <v>0</v>
      </c>
      <c r="X33" s="24">
        <f>W33/H33*100</f>
        <v>0</v>
      </c>
      <c r="Y33" s="28">
        <f>H33-W33</f>
        <v>307138696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0.12100200442475713</v>
      </c>
      <c r="Q34" s="226">
        <v>0</v>
      </c>
      <c r="R34" s="226">
        <v>0</v>
      </c>
      <c r="S34" s="226">
        <f t="shared" si="2"/>
        <v>0</v>
      </c>
      <c r="T34" s="226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44" t="s">
        <v>75</v>
      </c>
      <c r="H35" s="245">
        <f>H36+H40+H43</f>
        <v>2758134014.0100002</v>
      </c>
      <c r="I35" s="246"/>
      <c r="J35" s="244" t="s">
        <v>16</v>
      </c>
      <c r="K35" s="244" t="s">
        <v>17</v>
      </c>
      <c r="L35" s="247"/>
      <c r="M35" s="248"/>
      <c r="N35" s="249"/>
      <c r="O35" s="250"/>
      <c r="P35" s="251">
        <f>H35/H52*100</f>
        <v>22.830617278640268</v>
      </c>
      <c r="Q35" s="252">
        <f>AVERAGE(Q36,Q40,Q43)</f>
        <v>0</v>
      </c>
      <c r="R35" s="252">
        <f>R36+R40+R43/3</f>
        <v>0</v>
      </c>
      <c r="S35" s="252">
        <f t="shared" si="2"/>
        <v>0</v>
      </c>
      <c r="T35" s="252">
        <f t="shared" si="3"/>
        <v>0</v>
      </c>
      <c r="U35" s="253">
        <f>U36+U40+U43</f>
        <v>0</v>
      </c>
      <c r="V35" s="254">
        <f>V36+V40+V43</f>
        <v>0</v>
      </c>
      <c r="W35" s="254">
        <f t="shared" si="5"/>
        <v>0</v>
      </c>
      <c r="X35" s="252">
        <f>W35/H35*100</f>
        <v>0</v>
      </c>
      <c r="Y35" s="255">
        <f>H35-W35</f>
        <v>2758134014.0100002</v>
      </c>
      <c r="Z35" s="256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257" t="s">
        <v>75</v>
      </c>
      <c r="H36" s="258">
        <f>SUM(H37:H39)</f>
        <v>2616635000</v>
      </c>
      <c r="I36" s="259"/>
      <c r="J36" s="257" t="s">
        <v>16</v>
      </c>
      <c r="K36" s="257" t="s">
        <v>17</v>
      </c>
      <c r="L36" s="260"/>
      <c r="M36" s="261"/>
      <c r="N36" s="262"/>
      <c r="O36" s="260"/>
      <c r="P36" s="263">
        <f>H36/H52*100</f>
        <v>21.659350829019679</v>
      </c>
      <c r="Q36" s="264">
        <f>AVERAGE(Q37:Q39)</f>
        <v>0</v>
      </c>
      <c r="R36" s="264">
        <f>(R39+R37)/2</f>
        <v>0</v>
      </c>
      <c r="S36" s="264">
        <f t="shared" si="2"/>
        <v>0</v>
      </c>
      <c r="T36" s="264">
        <f t="shared" si="3"/>
        <v>0</v>
      </c>
      <c r="U36" s="265">
        <f>SUM(U37:U39)</f>
        <v>0</v>
      </c>
      <c r="V36" s="265">
        <f>SUM(V37:V39)</f>
        <v>0</v>
      </c>
      <c r="W36" s="265">
        <f t="shared" si="5"/>
        <v>0</v>
      </c>
      <c r="X36" s="264">
        <f>W36/H36*100</f>
        <v>0</v>
      </c>
      <c r="Y36" s="266">
        <f>H36-W36</f>
        <v>2616635000</v>
      </c>
      <c r="Z36" s="267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82680390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0.68439181379526404</v>
      </c>
      <c r="Q37" s="24">
        <v>0</v>
      </c>
      <c r="R37" s="24">
        <v>0</v>
      </c>
      <c r="S37" s="24">
        <f>Q37+R37</f>
        <v>0</v>
      </c>
      <c r="T37" s="24">
        <f>(P37*S37)/100</f>
        <v>0</v>
      </c>
      <c r="U37" s="32">
        <v>0</v>
      </c>
      <c r="V37" s="26">
        <v>0</v>
      </c>
      <c r="W37" s="26">
        <f>U37+V37</f>
        <v>0</v>
      </c>
      <c r="X37" s="24">
        <f>W37/H37*100</f>
        <v>0</v>
      </c>
      <c r="Y37" s="28">
        <f>H37-W37</f>
        <v>82680390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4999610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4.1384567201109473E-2</v>
      </c>
      <c r="Q38" s="24">
        <v>0</v>
      </c>
      <c r="R38" s="24">
        <v>0</v>
      </c>
      <c r="S38" s="24">
        <f t="shared" ref="S38" si="6">Q38+R38</f>
        <v>0</v>
      </c>
      <c r="T38" s="24">
        <f t="shared" ref="T38" si="7">(P38*S38)/100</f>
        <v>0</v>
      </c>
      <c r="U38" s="32">
        <v>0</v>
      </c>
      <c r="V38" s="26">
        <v>0</v>
      </c>
      <c r="W38" s="26">
        <f t="shared" ref="W38" si="8">U38+V38</f>
        <v>0</v>
      </c>
      <c r="X38" s="24">
        <f>W38/H38*100</f>
        <v>0</v>
      </c>
      <c r="Y38" s="28">
        <f t="shared" ref="Y38" si="9">H38-W38</f>
        <v>4999610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2528955000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20.933574448023307</v>
      </c>
      <c r="Q39" s="24">
        <v>0</v>
      </c>
      <c r="R39" s="24">
        <v>0</v>
      </c>
      <c r="S39" s="24">
        <f t="shared" si="2"/>
        <v>0</v>
      </c>
      <c r="T39" s="24">
        <f t="shared" si="3"/>
        <v>0</v>
      </c>
      <c r="U39" s="32">
        <v>0</v>
      </c>
      <c r="V39" s="26">
        <v>0</v>
      </c>
      <c r="W39" s="26">
        <f t="shared" si="5"/>
        <v>0</v>
      </c>
      <c r="X39" s="24">
        <f>W39/H39*100</f>
        <v>0</v>
      </c>
      <c r="Y39" s="28">
        <f t="shared" si="1"/>
        <v>2528955000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1.0907563107593361</v>
      </c>
      <c r="Q40" s="166">
        <f>AVERAGE(Q41:Q42)</f>
        <v>0</v>
      </c>
      <c r="R40" s="166">
        <v>0</v>
      </c>
      <c r="S40" s="166">
        <f>Q40+R40</f>
        <v>0</v>
      </c>
      <c r="T40" s="166">
        <f>(P40*S40)/100</f>
        <v>0</v>
      </c>
      <c r="U40" s="168">
        <f>SUM(U41:U42)</f>
        <v>0</v>
      </c>
      <c r="V40" s="173">
        <f>SUM(V42)</f>
        <v>0</v>
      </c>
      <c r="W40" s="173">
        <f t="shared" si="5"/>
        <v>0</v>
      </c>
      <c r="X40" s="166">
        <f t="shared" si="4"/>
        <v>0</v>
      </c>
      <c r="Y40" s="169">
        <f t="shared" si="1"/>
        <v>131772700.01000001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0.10730518542450315</v>
      </c>
      <c r="Q41" s="24">
        <v>0</v>
      </c>
      <c r="R41" s="24">
        <v>0</v>
      </c>
      <c r="S41" s="24">
        <f>Q41+R41</f>
        <v>0</v>
      </c>
      <c r="T41" s="24">
        <f>(P41*S41)/100</f>
        <v>0</v>
      </c>
      <c r="U41" s="32">
        <v>0</v>
      </c>
      <c r="V41" s="26"/>
      <c r="W41" s="26">
        <f t="shared" ref="W41" si="10">U41+V41</f>
        <v>0</v>
      </c>
      <c r="X41" s="24">
        <f t="shared" ref="X41" si="11">W41/H41*100</f>
        <v>0</v>
      </c>
      <c r="Y41" s="28">
        <f t="shared" ref="Y41" si="12">H41-W41</f>
        <v>12963385.01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0.98345112533483292</v>
      </c>
      <c r="Q42" s="24">
        <v>0</v>
      </c>
      <c r="R42" s="24">
        <v>0</v>
      </c>
      <c r="S42" s="24">
        <f>Q42+R42</f>
        <v>0</v>
      </c>
      <c r="T42" s="24">
        <f>(P42*S42)/100</f>
        <v>0</v>
      </c>
      <c r="U42" s="32">
        <v>0</v>
      </c>
      <c r="V42" s="26"/>
      <c r="W42" s="26">
        <f t="shared" si="5"/>
        <v>0</v>
      </c>
      <c r="X42" s="24">
        <f t="shared" si="4"/>
        <v>0</v>
      </c>
      <c r="Y42" s="28">
        <f t="shared" si="1"/>
        <v>118809315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9726314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8.0510138861249567E-2</v>
      </c>
      <c r="Q43" s="166">
        <f>AVERAGE(Q44)</f>
        <v>0</v>
      </c>
      <c r="R43" s="166">
        <v>0</v>
      </c>
      <c r="S43" s="166">
        <f>Q43+R43</f>
        <v>0</v>
      </c>
      <c r="T43" s="166">
        <f>(P43*S43)/100</f>
        <v>0</v>
      </c>
      <c r="U43" s="168">
        <f>SUM(U44)</f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9726314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9726314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8.0510138861249567E-2</v>
      </c>
      <c r="Q44" s="24">
        <v>0</v>
      </c>
      <c r="R44" s="24">
        <v>0</v>
      </c>
      <c r="S44" s="24">
        <f>Q44+R44</f>
        <v>0</v>
      </c>
      <c r="T44" s="24">
        <f>(P44*S44)/100</f>
        <v>0</v>
      </c>
      <c r="U44" s="32">
        <v>0</v>
      </c>
      <c r="V44" s="26"/>
      <c r="W44" s="26">
        <f t="shared" si="5"/>
        <v>0</v>
      </c>
      <c r="X44" s="24">
        <f t="shared" si="4"/>
        <v>0</v>
      </c>
      <c r="Y44" s="28">
        <f t="shared" si="1"/>
        <v>9726314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674738405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5.5851870175657545</v>
      </c>
      <c r="Q45" s="187">
        <f>AVERAGE(Q46,Q50)</f>
        <v>0</v>
      </c>
      <c r="R45" s="187">
        <f>R46+R50/2</f>
        <v>0</v>
      </c>
      <c r="S45" s="187">
        <f t="shared" si="2"/>
        <v>0</v>
      </c>
      <c r="T45" s="187">
        <f t="shared" si="3"/>
        <v>0</v>
      </c>
      <c r="U45" s="188">
        <f>SUM(U46+U50)</f>
        <v>0</v>
      </c>
      <c r="V45" s="189">
        <f>V46+V50</f>
        <v>0</v>
      </c>
      <c r="W45" s="189">
        <f t="shared" si="5"/>
        <v>0</v>
      </c>
      <c r="X45" s="187">
        <f t="shared" si="4"/>
        <v>0</v>
      </c>
      <c r="Y45" s="190">
        <f t="shared" si="1"/>
        <v>674738405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614738405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5.0885334721759001</v>
      </c>
      <c r="Q46" s="166">
        <f>AVERAGE(Q47:Q49)</f>
        <v>0</v>
      </c>
      <c r="R46" s="166">
        <f>SUM(R47)</f>
        <v>0</v>
      </c>
      <c r="S46" s="166">
        <f t="shared" si="2"/>
        <v>0</v>
      </c>
      <c r="T46" s="166">
        <f t="shared" si="3"/>
        <v>0</v>
      </c>
      <c r="U46" s="168">
        <f>SUM(U47:U49)</f>
        <v>0</v>
      </c>
      <c r="V46" s="173">
        <f>SUM(V47:V49)</f>
        <v>0</v>
      </c>
      <c r="W46" s="173">
        <f t="shared" si="5"/>
        <v>0</v>
      </c>
      <c r="X46" s="166">
        <f t="shared" si="4"/>
        <v>0</v>
      </c>
      <c r="Y46" s="169">
        <f t="shared" si="1"/>
        <v>614738405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449219600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3.7184417833102015</v>
      </c>
      <c r="Q47" s="24">
        <v>0</v>
      </c>
      <c r="R47" s="24">
        <v>0</v>
      </c>
      <c r="S47" s="24">
        <f t="shared" si="2"/>
        <v>0</v>
      </c>
      <c r="T47" s="24">
        <f t="shared" si="3"/>
        <v>0</v>
      </c>
      <c r="U47" s="26">
        <v>0</v>
      </c>
      <c r="V47" s="26">
        <v>0</v>
      </c>
      <c r="W47" s="26">
        <f t="shared" si="5"/>
        <v>0</v>
      </c>
      <c r="X47" s="24">
        <f t="shared" si="4"/>
        <v>0</v>
      </c>
      <c r="Y47" s="28">
        <f t="shared" si="1"/>
        <v>449219600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46170000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0.38217490317749275</v>
      </c>
      <c r="Q48" s="24">
        <v>0</v>
      </c>
      <c r="R48" s="24">
        <v>0</v>
      </c>
      <c r="S48" s="24">
        <f t="shared" ref="S48:S49" si="13">Q48+R48</f>
        <v>0</v>
      </c>
      <c r="T48" s="24">
        <f t="shared" ref="T48:T49" si="14">(P48*S48)/100</f>
        <v>0</v>
      </c>
      <c r="U48" s="26">
        <v>0</v>
      </c>
      <c r="V48" s="26">
        <v>0</v>
      </c>
      <c r="W48" s="26">
        <f t="shared" si="5"/>
        <v>0</v>
      </c>
      <c r="X48" s="24">
        <f t="shared" si="4"/>
        <v>0</v>
      </c>
      <c r="Y48" s="28">
        <f t="shared" si="1"/>
        <v>46170000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0.98791678568820573</v>
      </c>
      <c r="Q49" s="24">
        <v>0</v>
      </c>
      <c r="R49" s="24">
        <v>0</v>
      </c>
      <c r="S49" s="24">
        <f t="shared" si="13"/>
        <v>0</v>
      </c>
      <c r="T49" s="24">
        <f t="shared" si="14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60000000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0.49665354538985412</v>
      </c>
      <c r="Q50" s="166">
        <f>AVERAGE(Q51)</f>
        <v>0</v>
      </c>
      <c r="R50" s="166">
        <f>SUM(R51)</f>
        <v>0</v>
      </c>
      <c r="S50" s="166">
        <f t="shared" si="2"/>
        <v>0</v>
      </c>
      <c r="T50" s="166">
        <f t="shared" si="3"/>
        <v>0</v>
      </c>
      <c r="U50" s="168">
        <f>SUM(U51)</f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60000000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60000000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0.49665354538985412</v>
      </c>
      <c r="Q51" s="24">
        <v>0</v>
      </c>
      <c r="R51" s="24">
        <v>0</v>
      </c>
      <c r="S51" s="24">
        <f t="shared" si="2"/>
        <v>0</v>
      </c>
      <c r="T51" s="24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60000000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12080856073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f>Q14</f>
        <v>0</v>
      </c>
      <c r="R52" s="120">
        <f>R14</f>
        <v>0</v>
      </c>
      <c r="S52" s="120">
        <f>Q52+R52</f>
        <v>0</v>
      </c>
      <c r="T52" s="120">
        <f t="shared" si="3"/>
        <v>0</v>
      </c>
      <c r="U52" s="121">
        <f>U14</f>
        <v>0</v>
      </c>
      <c r="V52" s="121">
        <f>V15+V35+V45</f>
        <v>0</v>
      </c>
      <c r="W52" s="121">
        <f t="shared" si="5"/>
        <v>0</v>
      </c>
      <c r="X52" s="122">
        <f t="shared" si="4"/>
        <v>0</v>
      </c>
      <c r="Y52" s="123">
        <f t="shared" si="1"/>
        <v>12080856073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8" customHeight="1" x14ac:dyDescent="0.45">
      <c r="I55" s="73"/>
      <c r="J55" s="83"/>
      <c r="T55" s="368" t="s">
        <v>125</v>
      </c>
      <c r="U55" s="368"/>
      <c r="V55" s="368"/>
      <c r="W55" s="368"/>
      <c r="X55" s="368"/>
      <c r="Y55" s="368"/>
    </row>
    <row r="56" spans="1:26" s="72" customFormat="1" ht="12.95" customHeight="1" x14ac:dyDescent="0.45">
      <c r="H56" s="73"/>
      <c r="I56" s="73"/>
      <c r="U56" s="73"/>
      <c r="V56" s="73"/>
      <c r="W56" s="73"/>
      <c r="Y56" s="84"/>
    </row>
    <row r="57" spans="1:26" s="72" customFormat="1" ht="12.95" customHeight="1" x14ac:dyDescent="0.45">
      <c r="I57" s="73"/>
      <c r="T57" s="368" t="s">
        <v>88</v>
      </c>
      <c r="U57" s="368"/>
      <c r="V57" s="368"/>
      <c r="W57" s="368"/>
      <c r="X57" s="368"/>
      <c r="Y57" s="368"/>
    </row>
    <row r="58" spans="1:26" s="72" customFormat="1" ht="12.95" customHeight="1" x14ac:dyDescent="0.45">
      <c r="I58" s="73"/>
      <c r="T58" s="368" t="s">
        <v>27</v>
      </c>
      <c r="U58" s="368"/>
      <c r="V58" s="368"/>
      <c r="W58" s="368"/>
      <c r="X58" s="368"/>
      <c r="Y58" s="368"/>
    </row>
    <row r="59" spans="1:26" s="72" customFormat="1" ht="12.95" customHeight="1" x14ac:dyDescent="0.45">
      <c r="I59" s="73"/>
      <c r="U59" s="73"/>
      <c r="V59" s="85"/>
      <c r="W59" s="73"/>
      <c r="Y59" s="86"/>
    </row>
    <row r="60" spans="1:26" s="72" customFormat="1" ht="12.95" customHeight="1" x14ac:dyDescent="0.45">
      <c r="I60" s="73"/>
      <c r="U60" s="73"/>
      <c r="V60" s="85"/>
      <c r="W60" s="73"/>
      <c r="Y60" s="86"/>
    </row>
    <row r="61" spans="1:26" s="72" customFormat="1" ht="12.95" customHeight="1" x14ac:dyDescent="0.45">
      <c r="I61" s="73"/>
      <c r="U61" s="73"/>
      <c r="V61" s="85"/>
      <c r="W61" s="73"/>
    </row>
    <row r="62" spans="1:26" s="72" customFormat="1" ht="12.95" customHeight="1" x14ac:dyDescent="0.45">
      <c r="I62" s="73"/>
      <c r="U62" s="73"/>
      <c r="V62" s="73"/>
      <c r="W62" s="73"/>
    </row>
    <row r="63" spans="1:26" s="72" customFormat="1" ht="12.95" customHeight="1" x14ac:dyDescent="0.45">
      <c r="I63" s="73"/>
      <c r="T63" s="368" t="s">
        <v>89</v>
      </c>
      <c r="U63" s="368"/>
      <c r="V63" s="368"/>
      <c r="W63" s="368"/>
      <c r="X63" s="368"/>
      <c r="Y63" s="368"/>
    </row>
    <row r="64" spans="1:26" s="72" customFormat="1" ht="12.95" customHeight="1" x14ac:dyDescent="0.45">
      <c r="I64" s="73"/>
      <c r="T64" s="368" t="s">
        <v>63</v>
      </c>
      <c r="U64" s="368"/>
      <c r="V64" s="368"/>
      <c r="W64" s="368"/>
      <c r="X64" s="368"/>
      <c r="Y64" s="368"/>
    </row>
    <row r="65" spans="9:25" s="72" customFormat="1" ht="12.95" customHeight="1" x14ac:dyDescent="0.45">
      <c r="I65" s="73"/>
      <c r="T65" s="368" t="s">
        <v>90</v>
      </c>
      <c r="U65" s="368"/>
      <c r="V65" s="368"/>
      <c r="W65" s="368"/>
      <c r="X65" s="368"/>
      <c r="Y65" s="368"/>
    </row>
    <row r="66" spans="9:25" s="72" customFormat="1" ht="15" x14ac:dyDescent="0.45"/>
    <row r="67" spans="9:25" s="72" customFormat="1" ht="15" x14ac:dyDescent="0.45"/>
    <row r="71" spans="9:25" ht="14.1" customHeight="1" x14ac:dyDescent="0.45"/>
    <row r="72" spans="9:25" ht="14.1" customHeight="1" x14ac:dyDescent="0.45"/>
    <row r="73" spans="9:25" ht="14.1" customHeight="1" x14ac:dyDescent="0.45"/>
    <row r="74" spans="9:25" ht="14.1" customHeight="1" x14ac:dyDescent="0.45"/>
    <row r="75" spans="9:25" ht="14.1" customHeight="1" x14ac:dyDescent="0.45"/>
    <row r="76" spans="9:25" ht="14.1" customHeight="1" x14ac:dyDescent="0.45"/>
    <row r="77" spans="9:25" ht="14.1" customHeight="1" x14ac:dyDescent="0.45"/>
  </sheetData>
  <mergeCells count="36">
    <mergeCell ref="A12:E12"/>
    <mergeCell ref="T63:Y63"/>
    <mergeCell ref="T65:Y65"/>
    <mergeCell ref="F52:G52"/>
    <mergeCell ref="T55:Y55"/>
    <mergeCell ref="T57:Y57"/>
    <mergeCell ref="T58:Y58"/>
    <mergeCell ref="T64:Y64"/>
    <mergeCell ref="E9:E11"/>
    <mergeCell ref="Q9:T9"/>
    <mergeCell ref="U9:X9"/>
    <mergeCell ref="J10:J11"/>
    <mergeCell ref="K10:K11"/>
    <mergeCell ref="M8:M11"/>
    <mergeCell ref="N8:N11"/>
    <mergeCell ref="O8:O11"/>
    <mergeCell ref="P8:P11"/>
    <mergeCell ref="Q8:X8"/>
    <mergeCell ref="W10:X10"/>
    <mergeCell ref="F8:F11"/>
    <mergeCell ref="A1:Z1"/>
    <mergeCell ref="A2:Z2"/>
    <mergeCell ref="A3:Z3"/>
    <mergeCell ref="X6:Z6"/>
    <mergeCell ref="A8:E8"/>
    <mergeCell ref="G8:G11"/>
    <mergeCell ref="H8:H11"/>
    <mergeCell ref="I8:I11"/>
    <mergeCell ref="J8:K9"/>
    <mergeCell ref="L8:L11"/>
    <mergeCell ref="Z8:Z11"/>
    <mergeCell ref="A9:A11"/>
    <mergeCell ref="B9:B11"/>
    <mergeCell ref="C9:C11"/>
    <mergeCell ref="D9:D11"/>
    <mergeCell ref="Y8:Y11"/>
  </mergeCells>
  <printOptions horizontalCentered="1"/>
  <pageMargins left="0.13" right="0.11811023622047245" top="0.19685039370078741" bottom="0.11811023622047245" header="0.27" footer="0.11811023622047245"/>
  <pageSetup paperSize="9" scale="6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5"/>
  <sheetViews>
    <sheetView topLeftCell="G50" zoomScale="90" zoomScaleNormal="90" workbookViewId="0">
      <selection activeCell="H52" sqref="H52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86328125" style="1" customWidth="1"/>
    <col min="5" max="5" width="3.265625" style="1" customWidth="1"/>
    <col min="6" max="6" width="36" style="1" customWidth="1"/>
    <col min="7" max="7" width="10" style="1" customWidth="1"/>
    <col min="8" max="8" width="17.265625" style="1" customWidth="1"/>
    <col min="9" max="9" width="10.59765625" style="1" customWidth="1"/>
    <col min="10" max="10" width="7.59765625" style="1" customWidth="1"/>
    <col min="11" max="11" width="9.73046875" style="1" customWidth="1"/>
    <col min="12" max="12" width="8.59765625" style="1" customWidth="1"/>
    <col min="13" max="13" width="8.265625" style="1" customWidth="1"/>
    <col min="14" max="14" width="9.1328125" style="1"/>
    <col min="15" max="15" width="8.1328125" style="1" customWidth="1"/>
    <col min="16" max="16" width="8.265625" style="1" customWidth="1"/>
    <col min="17" max="17" width="8.1328125" style="1" customWidth="1"/>
    <col min="18" max="18" width="7.1328125" style="1" customWidth="1"/>
    <col min="19" max="19" width="7.59765625" style="1" customWidth="1"/>
    <col min="20" max="20" width="7.86328125" style="1" customWidth="1"/>
    <col min="21" max="21" width="11.1328125" style="1" customWidth="1"/>
    <col min="22" max="22" width="13.1328125" style="1" customWidth="1"/>
    <col min="23" max="23" width="13.3984375" style="1" customWidth="1"/>
    <col min="24" max="24" width="6" style="1" customWidth="1"/>
    <col min="25" max="25" width="15.7304687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123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16"/>
      <c r="Z7" s="216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12080856073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12080856073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0</v>
      </c>
      <c r="R14" s="133">
        <v>2.6666666666666665</v>
      </c>
      <c r="S14" s="133">
        <v>2.6666666666666665</v>
      </c>
      <c r="T14" s="134">
        <v>2.6666666666666661</v>
      </c>
      <c r="U14" s="88">
        <f>U15+U35+U45</f>
        <v>0</v>
      </c>
      <c r="V14" s="88">
        <f>V15+V35+V45</f>
        <v>383716179</v>
      </c>
      <c r="W14" s="88">
        <f t="shared" ref="W14" si="0">U14+V14</f>
        <v>383716179</v>
      </c>
      <c r="X14" s="135">
        <f>W14/H14*100</f>
        <v>3.1762333453966312</v>
      </c>
      <c r="Y14" s="136">
        <f t="shared" ref="Y14:Y52" si="1">H14-W14</f>
        <v>11697139894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194">
        <f>H16+H19+H21+H28+H31</f>
        <v>8647983653.9899998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71.584195703793966</v>
      </c>
      <c r="Q15" s="187">
        <f>AVERAGE(Q16,Q19,Q21,Q28,Q31)</f>
        <v>0</v>
      </c>
      <c r="R15" s="187">
        <f>R16+R19+R21+R28+R31/5</f>
        <v>8</v>
      </c>
      <c r="S15" s="187">
        <f t="shared" ref="S15:S51" si="2">Q15+R15</f>
        <v>8</v>
      </c>
      <c r="T15" s="187">
        <f t="shared" ref="T15:T52" si="3">(P15*S15)/100</f>
        <v>5.726735656303517</v>
      </c>
      <c r="U15" s="188">
        <f>U16+U19+U21+U28+U31</f>
        <v>0</v>
      </c>
      <c r="V15" s="188">
        <f>V16+V19+V21+V28+V31</f>
        <v>383716179</v>
      </c>
      <c r="W15" s="189">
        <f>U15+V15</f>
        <v>383716179</v>
      </c>
      <c r="X15" s="187">
        <f t="shared" ref="X15:X52" si="4">W15/H15*100</f>
        <v>4.4370594852241814</v>
      </c>
      <c r="Y15" s="190">
        <f t="shared" si="1"/>
        <v>8264267474.9899998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33250009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0.27522891423490931</v>
      </c>
      <c r="Q16" s="166">
        <f>AVERAGE(Q17:Q18)</f>
        <v>0</v>
      </c>
      <c r="R16" s="166">
        <f>SUM(R17:R18)</f>
        <v>0</v>
      </c>
      <c r="S16" s="166">
        <f t="shared" si="2"/>
        <v>0</v>
      </c>
      <c r="T16" s="166">
        <f t="shared" si="3"/>
        <v>0</v>
      </c>
      <c r="U16" s="168">
        <f>SUM(U17:U18)</f>
        <v>0</v>
      </c>
      <c r="V16" s="168">
        <f>SUM(V17:V18)</f>
        <v>0</v>
      </c>
      <c r="W16" s="173">
        <f t="shared" ref="W16:W52" si="5">U16+V16</f>
        <v>0</v>
      </c>
      <c r="X16" s="166">
        <f t="shared" si="4"/>
        <v>0</v>
      </c>
      <c r="Y16" s="169">
        <f t="shared" si="1"/>
        <v>33250009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26740000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0.22134193006207831</v>
      </c>
      <c r="Q17" s="24">
        <v>0</v>
      </c>
      <c r="R17" s="24">
        <v>0</v>
      </c>
      <c r="S17" s="24">
        <f t="shared" si="2"/>
        <v>0</v>
      </c>
      <c r="T17" s="24">
        <f t="shared" si="3"/>
        <v>0</v>
      </c>
      <c r="U17" s="26">
        <v>0</v>
      </c>
      <c r="V17" s="26">
        <v>0</v>
      </c>
      <c r="W17" s="27">
        <f t="shared" si="5"/>
        <v>0</v>
      </c>
      <c r="X17" s="24">
        <f t="shared" si="4"/>
        <v>0</v>
      </c>
      <c r="Y17" s="28">
        <f t="shared" si="1"/>
        <v>26740000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5.3886984172830978E-2</v>
      </c>
      <c r="Q18" s="24">
        <v>0</v>
      </c>
      <c r="R18" s="24">
        <v>0</v>
      </c>
      <c r="S18" s="24">
        <f>Q18+R18</f>
        <v>0</v>
      </c>
      <c r="T18" s="24">
        <f>(P18*S18)/100</f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48.123609559370337</v>
      </c>
      <c r="Q19" s="166">
        <f>AVERAGE(Q20)</f>
        <v>0</v>
      </c>
      <c r="R19" s="166">
        <f>R20</f>
        <v>8</v>
      </c>
      <c r="S19" s="166">
        <f t="shared" si="2"/>
        <v>8</v>
      </c>
      <c r="T19" s="166">
        <f t="shared" si="3"/>
        <v>3.8498887647496272</v>
      </c>
      <c r="U19" s="168">
        <f>SUM(U20)</f>
        <v>0</v>
      </c>
      <c r="V19" s="168">
        <f>SUM(V20)</f>
        <v>383716179</v>
      </c>
      <c r="W19" s="168">
        <f t="shared" si="5"/>
        <v>383716179</v>
      </c>
      <c r="X19" s="166">
        <f t="shared" si="4"/>
        <v>6.6001560865422952</v>
      </c>
      <c r="Y19" s="169">
        <f t="shared" si="1"/>
        <v>5430027829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48.123609559370337</v>
      </c>
      <c r="Q20" s="24">
        <v>0</v>
      </c>
      <c r="R20" s="24">
        <v>8</v>
      </c>
      <c r="S20" s="24">
        <f t="shared" si="2"/>
        <v>8</v>
      </c>
      <c r="T20" s="24">
        <f>(P20*S20)/100</f>
        <v>3.8498887647496272</v>
      </c>
      <c r="U20" s="32">
        <v>0</v>
      </c>
      <c r="V20" s="26">
        <f>15281155+176415860+176738009+15281155</f>
        <v>383716179</v>
      </c>
      <c r="W20" s="26">
        <f t="shared" si="5"/>
        <v>383716179</v>
      </c>
      <c r="X20" s="24">
        <f t="shared" si="4"/>
        <v>6.6001560865422952</v>
      </c>
      <c r="Y20" s="28">
        <f t="shared" si="1"/>
        <v>5430027829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323844262.99000001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2.6806400228024634</v>
      </c>
      <c r="Q21" s="166">
        <f>AVERAGE(Q22:Q27)</f>
        <v>0</v>
      </c>
      <c r="R21" s="166">
        <f>(SUM(R22:R27))/6</f>
        <v>0</v>
      </c>
      <c r="S21" s="166">
        <f t="shared" si="2"/>
        <v>0</v>
      </c>
      <c r="T21" s="166">
        <f t="shared" si="3"/>
        <v>0</v>
      </c>
      <c r="U21" s="168">
        <f>SUM(U22:U27)</f>
        <v>0</v>
      </c>
      <c r="V21" s="168">
        <f>SUM(V22:V27)</f>
        <v>0</v>
      </c>
      <c r="W21" s="173">
        <f t="shared" si="5"/>
        <v>0</v>
      </c>
      <c r="X21" s="166">
        <f>W21/H21*100</f>
        <v>0</v>
      </c>
      <c r="Y21" s="169">
        <f t="shared" si="1"/>
        <v>323844262.99000001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3.2020495705147367E-2</v>
      </c>
      <c r="Q22" s="24">
        <v>0</v>
      </c>
      <c r="R22" s="24">
        <v>0</v>
      </c>
      <c r="S22" s="24">
        <f t="shared" si="2"/>
        <v>0</v>
      </c>
      <c r="T22" s="24">
        <f t="shared" si="3"/>
        <v>0</v>
      </c>
      <c r="U22" s="32">
        <v>0</v>
      </c>
      <c r="V22" s="32">
        <v>0</v>
      </c>
      <c r="W22" s="26">
        <f t="shared" si="5"/>
        <v>0</v>
      </c>
      <c r="X22" s="24">
        <f t="shared" si="4"/>
        <v>0</v>
      </c>
      <c r="Y22" s="28">
        <f t="shared" si="1"/>
        <v>3868350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94919208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0.78569935297995008</v>
      </c>
      <c r="Q23" s="24">
        <v>0</v>
      </c>
      <c r="R23" s="24">
        <v>0</v>
      </c>
      <c r="S23" s="24">
        <f t="shared" si="2"/>
        <v>0</v>
      </c>
      <c r="T23" s="24">
        <f t="shared" si="3"/>
        <v>0</v>
      </c>
      <c r="U23" s="32">
        <v>0</v>
      </c>
      <c r="V23" s="32">
        <v>0</v>
      </c>
      <c r="W23" s="26">
        <f t="shared" si="5"/>
        <v>0</v>
      </c>
      <c r="X23" s="24">
        <f t="shared" si="4"/>
        <v>0</v>
      </c>
      <c r="Y23" s="28">
        <f t="shared" si="1"/>
        <v>94919208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8.1225369631965486E-2</v>
      </c>
      <c r="Q24" s="24">
        <v>0</v>
      </c>
      <c r="R24" s="24">
        <v>0</v>
      </c>
      <c r="S24" s="24">
        <f t="shared" si="2"/>
        <v>0</v>
      </c>
      <c r="T24" s="24">
        <f t="shared" si="3"/>
        <v>0</v>
      </c>
      <c r="U24" s="32">
        <v>0</v>
      </c>
      <c r="V24" s="32">
        <v>0</v>
      </c>
      <c r="W24" s="26">
        <f t="shared" si="5"/>
        <v>0</v>
      </c>
      <c r="X24" s="24">
        <f t="shared" si="4"/>
        <v>0</v>
      </c>
      <c r="Y24" s="28">
        <f t="shared" si="1"/>
        <v>9812720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9604984.9900000002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7.9505830811663875E-2</v>
      </c>
      <c r="Q25" s="24">
        <v>0</v>
      </c>
      <c r="R25" s="24">
        <v>0</v>
      </c>
      <c r="S25" s="24">
        <f t="shared" si="2"/>
        <v>0</v>
      </c>
      <c r="T25" s="24">
        <f t="shared" si="3"/>
        <v>0</v>
      </c>
      <c r="U25" s="32">
        <v>0</v>
      </c>
      <c r="V25" s="32">
        <v>0</v>
      </c>
      <c r="W25" s="26">
        <f t="shared" si="5"/>
        <v>0</v>
      </c>
      <c r="X25" s="24">
        <f t="shared" si="4"/>
        <v>0</v>
      </c>
      <c r="Y25" s="28">
        <f t="shared" si="1"/>
        <v>9604984.9900000002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34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6.151881915562326E-2</v>
      </c>
      <c r="Q26" s="24">
        <v>0</v>
      </c>
      <c r="R26" s="24">
        <v>0</v>
      </c>
      <c r="S26" s="24">
        <f t="shared" si="2"/>
        <v>0</v>
      </c>
      <c r="T26" s="24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198207000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1.6406701545181135</v>
      </c>
      <c r="Q27" s="24">
        <v>0</v>
      </c>
      <c r="R27" s="24">
        <v>0</v>
      </c>
      <c r="S27" s="24">
        <f t="shared" si="2"/>
        <v>0</v>
      </c>
      <c r="T27" s="24">
        <f t="shared" si="3"/>
        <v>0</v>
      </c>
      <c r="U27" s="32">
        <v>0</v>
      </c>
      <c r="V27" s="26">
        <v>0</v>
      </c>
      <c r="W27" s="26">
        <f t="shared" si="5"/>
        <v>0</v>
      </c>
      <c r="X27" s="24">
        <f t="shared" si="4"/>
        <v>0</v>
      </c>
      <c r="Y27" s="28">
        <f t="shared" si="1"/>
        <v>198207000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17.236195741573091</v>
      </c>
      <c r="Q28" s="166">
        <f>AVERAGE(Q29:Q30)</f>
        <v>0</v>
      </c>
      <c r="R28" s="166">
        <f>SUM(R29:R30)/2</f>
        <v>0</v>
      </c>
      <c r="S28" s="166">
        <f t="shared" si="2"/>
        <v>0</v>
      </c>
      <c r="T28" s="166">
        <f t="shared" si="3"/>
        <v>0</v>
      </c>
      <c r="U28" s="168">
        <f>SUM(U29:U30)</f>
        <v>0</v>
      </c>
      <c r="V28" s="168">
        <f>SUM(V29:V30)</f>
        <v>0</v>
      </c>
      <c r="W28" s="173">
        <f t="shared" si="5"/>
        <v>0</v>
      </c>
      <c r="X28" s="166">
        <f t="shared" si="4"/>
        <v>0</v>
      </c>
      <c r="Y28" s="169">
        <f t="shared" si="1"/>
        <v>2082280000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0.13244094543729443</v>
      </c>
      <c r="Q29" s="24">
        <v>0</v>
      </c>
      <c r="R29" s="24">
        <v>0</v>
      </c>
      <c r="S29" s="24">
        <f t="shared" si="2"/>
        <v>0</v>
      </c>
      <c r="T29" s="24">
        <f t="shared" si="3"/>
        <v>0</v>
      </c>
      <c r="U29" s="32">
        <v>0</v>
      </c>
      <c r="V29" s="32">
        <v>0</v>
      </c>
      <c r="W29" s="26">
        <f t="shared" si="5"/>
        <v>0</v>
      </c>
      <c r="X29" s="24">
        <f t="shared" si="4"/>
        <v>0</v>
      </c>
      <c r="Y29" s="28">
        <f t="shared" si="1"/>
        <v>16000000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17.103754796135796</v>
      </c>
      <c r="Q30" s="24">
        <v>0</v>
      </c>
      <c r="R30" s="24">
        <v>0</v>
      </c>
      <c r="S30" s="24">
        <f t="shared" si="2"/>
        <v>0</v>
      </c>
      <c r="T30" s="24">
        <f t="shared" si="3"/>
        <v>0</v>
      </c>
      <c r="U30" s="32">
        <v>0</v>
      </c>
      <c r="V30" s="32">
        <v>0</v>
      </c>
      <c r="W30" s="26">
        <f t="shared" si="5"/>
        <v>0</v>
      </c>
      <c r="X30" s="24">
        <f t="shared" si="4"/>
        <v>0</v>
      </c>
      <c r="Y30" s="28">
        <f t="shared" si="1"/>
        <v>2066280000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3.268521465813178</v>
      </c>
      <c r="Q31" s="166">
        <f>AVERAGE(Q32:Q34)</f>
        <v>0</v>
      </c>
      <c r="R31" s="166">
        <f>SUM(R32:R34)/3</f>
        <v>0</v>
      </c>
      <c r="S31" s="166">
        <f t="shared" si="2"/>
        <v>0</v>
      </c>
      <c r="T31" s="166">
        <f t="shared" si="3"/>
        <v>0</v>
      </c>
      <c r="U31" s="168">
        <f>SUM(U32:U34)</f>
        <v>0</v>
      </c>
      <c r="V31" s="168">
        <f>SUM(V32:V34)</f>
        <v>0</v>
      </c>
      <c r="W31" s="173">
        <f t="shared" si="5"/>
        <v>0</v>
      </c>
      <c r="X31" s="166">
        <f t="shared" si="4"/>
        <v>0</v>
      </c>
      <c r="Y31" s="169">
        <f t="shared" si="1"/>
        <v>394865374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0.60516075647481138</v>
      </c>
      <c r="Q32" s="24">
        <v>0</v>
      </c>
      <c r="R32" s="24">
        <v>0</v>
      </c>
      <c r="S32" s="24">
        <f t="shared" si="2"/>
        <v>0</v>
      </c>
      <c r="T32" s="24">
        <f t="shared" si="3"/>
        <v>0</v>
      </c>
      <c r="U32" s="32">
        <v>0</v>
      </c>
      <c r="V32" s="32">
        <v>0</v>
      </c>
      <c r="W32" s="26">
        <f t="shared" si="5"/>
        <v>0</v>
      </c>
      <c r="X32" s="24">
        <f t="shared" si="4"/>
        <v>0</v>
      </c>
      <c r="Y32" s="28">
        <f t="shared" si="1"/>
        <v>73108600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2.5423587049136098</v>
      </c>
      <c r="Q33" s="24">
        <v>0</v>
      </c>
      <c r="R33" s="24">
        <v>0</v>
      </c>
      <c r="S33" s="24">
        <f>Q33+R33</f>
        <v>0</v>
      </c>
      <c r="T33" s="24">
        <f>(P33*S33)/100</f>
        <v>0</v>
      </c>
      <c r="U33" s="45">
        <v>0</v>
      </c>
      <c r="V33" s="45">
        <v>0</v>
      </c>
      <c r="W33" s="26">
        <f>U33+V33</f>
        <v>0</v>
      </c>
      <c r="X33" s="24">
        <f>W33/H33*100</f>
        <v>0</v>
      </c>
      <c r="Y33" s="28">
        <f>H33-W33</f>
        <v>307138696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0.12100200442475713</v>
      </c>
      <c r="Q34" s="226">
        <v>0</v>
      </c>
      <c r="R34" s="226">
        <v>0</v>
      </c>
      <c r="S34" s="226">
        <f t="shared" si="2"/>
        <v>0</v>
      </c>
      <c r="T34" s="226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2758134014.0100002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22.830617278640268</v>
      </c>
      <c r="Q35" s="239">
        <f>AVERAGE(Q36,Q40,Q43)</f>
        <v>0</v>
      </c>
      <c r="R35" s="239">
        <f>R36+R40+R43/3</f>
        <v>0</v>
      </c>
      <c r="S35" s="239">
        <f t="shared" si="2"/>
        <v>0</v>
      </c>
      <c r="T35" s="239">
        <f t="shared" si="3"/>
        <v>0</v>
      </c>
      <c r="U35" s="240">
        <f>U36+U40+U43</f>
        <v>0</v>
      </c>
      <c r="V35" s="241">
        <f>V36+V40+V43</f>
        <v>0</v>
      </c>
      <c r="W35" s="241">
        <f t="shared" si="5"/>
        <v>0</v>
      </c>
      <c r="X35" s="239">
        <f>W35/H35*100</f>
        <v>0</v>
      </c>
      <c r="Y35" s="242">
        <f>H35-W35</f>
        <v>2758134014.0100002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2616635000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21.659350829019679</v>
      </c>
      <c r="Q36" s="166">
        <f>AVERAGE(Q37:Q39)</f>
        <v>0</v>
      </c>
      <c r="R36" s="166">
        <f>(R39+R37)/2</f>
        <v>0</v>
      </c>
      <c r="S36" s="166">
        <f t="shared" si="2"/>
        <v>0</v>
      </c>
      <c r="T36" s="166">
        <f t="shared" si="3"/>
        <v>0</v>
      </c>
      <c r="U36" s="173">
        <f>SUM(U37:U39)</f>
        <v>0</v>
      </c>
      <c r="V36" s="173">
        <f>SUM(V37:V39)</f>
        <v>0</v>
      </c>
      <c r="W36" s="173">
        <f t="shared" si="5"/>
        <v>0</v>
      </c>
      <c r="X36" s="166">
        <f>W36/H36*100</f>
        <v>0</v>
      </c>
      <c r="Y36" s="169">
        <f>H36-W36</f>
        <v>2616635000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82680390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0.68439181379526404</v>
      </c>
      <c r="Q37" s="24">
        <v>0</v>
      </c>
      <c r="R37" s="24">
        <v>0</v>
      </c>
      <c r="S37" s="24">
        <f>Q37+R37</f>
        <v>0</v>
      </c>
      <c r="T37" s="24">
        <f>(P37*S37)/100</f>
        <v>0</v>
      </c>
      <c r="U37" s="32">
        <v>0</v>
      </c>
      <c r="V37" s="26">
        <v>0</v>
      </c>
      <c r="W37" s="26">
        <f>U37+V37</f>
        <v>0</v>
      </c>
      <c r="X37" s="24">
        <f>W37/H37*100</f>
        <v>0</v>
      </c>
      <c r="Y37" s="28">
        <f>H37-W37</f>
        <v>82680390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4999610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4.1384567201109473E-2</v>
      </c>
      <c r="Q38" s="24">
        <v>0</v>
      </c>
      <c r="R38" s="24">
        <v>0</v>
      </c>
      <c r="S38" s="24">
        <f t="shared" ref="S38" si="6">Q38+R38</f>
        <v>0</v>
      </c>
      <c r="T38" s="24">
        <f t="shared" ref="T38" si="7">(P38*S38)/100</f>
        <v>0</v>
      </c>
      <c r="U38" s="32">
        <v>0</v>
      </c>
      <c r="V38" s="26">
        <v>0</v>
      </c>
      <c r="W38" s="26">
        <f t="shared" ref="W38" si="8">U38+V38</f>
        <v>0</v>
      </c>
      <c r="X38" s="24">
        <f>W38/H38*100</f>
        <v>0</v>
      </c>
      <c r="Y38" s="28">
        <f t="shared" ref="Y38" si="9">H38-W38</f>
        <v>4999610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2528955000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20.933574448023307</v>
      </c>
      <c r="Q39" s="24">
        <v>0</v>
      </c>
      <c r="R39" s="24">
        <v>0</v>
      </c>
      <c r="S39" s="24">
        <f t="shared" si="2"/>
        <v>0</v>
      </c>
      <c r="T39" s="24">
        <f t="shared" si="3"/>
        <v>0</v>
      </c>
      <c r="U39" s="32">
        <v>0</v>
      </c>
      <c r="V39" s="26">
        <v>0</v>
      </c>
      <c r="W39" s="26">
        <f t="shared" si="5"/>
        <v>0</v>
      </c>
      <c r="X39" s="24">
        <f>W39/H39*100</f>
        <v>0</v>
      </c>
      <c r="Y39" s="28">
        <f t="shared" si="1"/>
        <v>2528955000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1.0907563107593361</v>
      </c>
      <c r="Q40" s="166">
        <f>AVERAGE(Q41:Q42)</f>
        <v>0</v>
      </c>
      <c r="R40" s="166">
        <v>0</v>
      </c>
      <c r="S40" s="166">
        <f>Q40+R40</f>
        <v>0</v>
      </c>
      <c r="T40" s="166">
        <f>(P40*S40)/100</f>
        <v>0</v>
      </c>
      <c r="U40" s="168">
        <f>SUM(U41:U42)</f>
        <v>0</v>
      </c>
      <c r="V40" s="173">
        <f>SUM(V42)</f>
        <v>0</v>
      </c>
      <c r="W40" s="173">
        <f t="shared" si="5"/>
        <v>0</v>
      </c>
      <c r="X40" s="166">
        <f t="shared" si="4"/>
        <v>0</v>
      </c>
      <c r="Y40" s="169">
        <f t="shared" si="1"/>
        <v>131772700.01000001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0.10730518542450315</v>
      </c>
      <c r="Q41" s="24">
        <v>0</v>
      </c>
      <c r="R41" s="24">
        <v>0</v>
      </c>
      <c r="S41" s="24">
        <f>Q41+R41</f>
        <v>0</v>
      </c>
      <c r="T41" s="24">
        <f>(P41*S41)/100</f>
        <v>0</v>
      </c>
      <c r="U41" s="32">
        <v>0</v>
      </c>
      <c r="V41" s="26"/>
      <c r="W41" s="26">
        <f t="shared" si="5"/>
        <v>0</v>
      </c>
      <c r="X41" s="24">
        <f t="shared" si="4"/>
        <v>0</v>
      </c>
      <c r="Y41" s="28">
        <f t="shared" si="1"/>
        <v>12963385.01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0.98345112533483292</v>
      </c>
      <c r="Q42" s="24">
        <v>0</v>
      </c>
      <c r="R42" s="24">
        <v>0</v>
      </c>
      <c r="S42" s="24">
        <f>Q42+R42</f>
        <v>0</v>
      </c>
      <c r="T42" s="24">
        <f>(P42*S42)/100</f>
        <v>0</v>
      </c>
      <c r="U42" s="32">
        <v>0</v>
      </c>
      <c r="V42" s="26"/>
      <c r="W42" s="26">
        <f t="shared" si="5"/>
        <v>0</v>
      </c>
      <c r="X42" s="24">
        <f t="shared" si="4"/>
        <v>0</v>
      </c>
      <c r="Y42" s="28">
        <f t="shared" si="1"/>
        <v>118809315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9726314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8.0510138861249567E-2</v>
      </c>
      <c r="Q43" s="166">
        <f>AVERAGE(Q44)</f>
        <v>0</v>
      </c>
      <c r="R43" s="166">
        <v>0</v>
      </c>
      <c r="S43" s="166">
        <f>Q43+R43</f>
        <v>0</v>
      </c>
      <c r="T43" s="166">
        <f>(P43*S43)/100</f>
        <v>0</v>
      </c>
      <c r="U43" s="168">
        <f>SUM(U44)</f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9726314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9726314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8.0510138861249567E-2</v>
      </c>
      <c r="Q44" s="24">
        <v>0</v>
      </c>
      <c r="R44" s="24">
        <v>0</v>
      </c>
      <c r="S44" s="24">
        <f>Q44+R44</f>
        <v>0</v>
      </c>
      <c r="T44" s="24">
        <f>(P44*S44)/100</f>
        <v>0</v>
      </c>
      <c r="U44" s="32">
        <v>0</v>
      </c>
      <c r="V44" s="26"/>
      <c r="W44" s="26">
        <f t="shared" si="5"/>
        <v>0</v>
      </c>
      <c r="X44" s="24">
        <f t="shared" si="4"/>
        <v>0</v>
      </c>
      <c r="Y44" s="28">
        <f t="shared" si="1"/>
        <v>9726314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674738405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5.5851870175657545</v>
      </c>
      <c r="Q45" s="187">
        <f>AVERAGE(Q46,Q50)</f>
        <v>0</v>
      </c>
      <c r="R45" s="187">
        <f>R46+R50/2</f>
        <v>0</v>
      </c>
      <c r="S45" s="187">
        <f t="shared" si="2"/>
        <v>0</v>
      </c>
      <c r="T45" s="187">
        <f t="shared" si="3"/>
        <v>0</v>
      </c>
      <c r="U45" s="188">
        <f>SUM(U46+U50)</f>
        <v>0</v>
      </c>
      <c r="V45" s="189">
        <f>V46+V50</f>
        <v>0</v>
      </c>
      <c r="W45" s="189">
        <f t="shared" si="5"/>
        <v>0</v>
      </c>
      <c r="X45" s="187">
        <f t="shared" si="4"/>
        <v>0</v>
      </c>
      <c r="Y45" s="190">
        <f t="shared" si="1"/>
        <v>674738405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614738405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5.0885334721759001</v>
      </c>
      <c r="Q46" s="166">
        <f>AVERAGE(Q47:Q49)</f>
        <v>0</v>
      </c>
      <c r="R46" s="166">
        <f>SUM(R47)</f>
        <v>0</v>
      </c>
      <c r="S46" s="166">
        <f t="shared" si="2"/>
        <v>0</v>
      </c>
      <c r="T46" s="166">
        <f t="shared" si="3"/>
        <v>0</v>
      </c>
      <c r="U46" s="168">
        <f>SUM(U47:U49)</f>
        <v>0</v>
      </c>
      <c r="V46" s="173">
        <f>SUM(V47:V49)</f>
        <v>0</v>
      </c>
      <c r="W46" s="173">
        <f t="shared" si="5"/>
        <v>0</v>
      </c>
      <c r="X46" s="166">
        <f t="shared" si="4"/>
        <v>0</v>
      </c>
      <c r="Y46" s="169">
        <f t="shared" si="1"/>
        <v>614738405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449219600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3.7184417833102015</v>
      </c>
      <c r="Q47" s="24">
        <v>0</v>
      </c>
      <c r="R47" s="24">
        <v>0</v>
      </c>
      <c r="S47" s="24">
        <f t="shared" si="2"/>
        <v>0</v>
      </c>
      <c r="T47" s="24">
        <f t="shared" si="3"/>
        <v>0</v>
      </c>
      <c r="U47" s="26">
        <v>0</v>
      </c>
      <c r="V47" s="26">
        <v>0</v>
      </c>
      <c r="W47" s="26">
        <f t="shared" si="5"/>
        <v>0</v>
      </c>
      <c r="X47" s="24">
        <f t="shared" si="4"/>
        <v>0</v>
      </c>
      <c r="Y47" s="28">
        <f t="shared" si="1"/>
        <v>449219600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46170000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0.38217490317749275</v>
      </c>
      <c r="Q48" s="24">
        <v>0</v>
      </c>
      <c r="R48" s="24">
        <v>0</v>
      </c>
      <c r="S48" s="24">
        <f t="shared" si="2"/>
        <v>0</v>
      </c>
      <c r="T48" s="24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f t="shared" si="4"/>
        <v>0</v>
      </c>
      <c r="Y48" s="28">
        <f t="shared" si="1"/>
        <v>46170000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0.98791678568820573</v>
      </c>
      <c r="Q49" s="24">
        <v>0</v>
      </c>
      <c r="R49" s="24">
        <v>0</v>
      </c>
      <c r="S49" s="24">
        <f t="shared" si="2"/>
        <v>0</v>
      </c>
      <c r="T49" s="24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60000000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0.49665354538985412</v>
      </c>
      <c r="Q50" s="166">
        <f>AVERAGE(Q51)</f>
        <v>0</v>
      </c>
      <c r="R50" s="166">
        <f>SUM(R51)</f>
        <v>0</v>
      </c>
      <c r="S50" s="166">
        <f t="shared" si="2"/>
        <v>0</v>
      </c>
      <c r="T50" s="166">
        <f t="shared" si="3"/>
        <v>0</v>
      </c>
      <c r="U50" s="168">
        <f>SUM(U51)</f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60000000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60000000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0.49665354538985412</v>
      </c>
      <c r="Q51" s="24">
        <v>0</v>
      </c>
      <c r="R51" s="24">
        <v>0</v>
      </c>
      <c r="S51" s="24">
        <f t="shared" si="2"/>
        <v>0</v>
      </c>
      <c r="T51" s="24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60000000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12080856073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f>Q14</f>
        <v>0</v>
      </c>
      <c r="R52" s="120">
        <f>(R45+R35+R15)/3</f>
        <v>2.6666666666666665</v>
      </c>
      <c r="S52" s="120">
        <f>Q52+R52</f>
        <v>2.6666666666666665</v>
      </c>
      <c r="T52" s="120">
        <f t="shared" si="3"/>
        <v>2.6666666666666661</v>
      </c>
      <c r="U52" s="121">
        <f>U14</f>
        <v>0</v>
      </c>
      <c r="V52" s="121">
        <f>V15+V35+V45</f>
        <v>383716179</v>
      </c>
      <c r="W52" s="121">
        <f t="shared" si="5"/>
        <v>383716179</v>
      </c>
      <c r="X52" s="122">
        <f t="shared" si="4"/>
        <v>3.1762333453966312</v>
      </c>
      <c r="Y52" s="123">
        <f t="shared" si="1"/>
        <v>11697139894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s="72" customFormat="1" ht="15" x14ac:dyDescent="0.45">
      <c r="I54" s="73"/>
      <c r="J54" s="83"/>
      <c r="T54" s="368" t="s">
        <v>124</v>
      </c>
      <c r="U54" s="368"/>
      <c r="V54" s="368"/>
      <c r="W54" s="368"/>
      <c r="X54" s="368"/>
      <c r="Y54" s="368"/>
    </row>
    <row r="55" spans="1:26" s="72" customFormat="1" ht="12.95" customHeight="1" x14ac:dyDescent="0.45">
      <c r="H55" s="73"/>
      <c r="I55" s="73"/>
      <c r="U55" s="73"/>
      <c r="V55" s="73"/>
      <c r="W55" s="73"/>
      <c r="Y55" s="84"/>
    </row>
    <row r="56" spans="1:26" s="72" customFormat="1" ht="12.95" customHeight="1" x14ac:dyDescent="0.45">
      <c r="I56" s="73"/>
      <c r="T56" s="368" t="s">
        <v>88</v>
      </c>
      <c r="U56" s="368"/>
      <c r="V56" s="368"/>
      <c r="W56" s="368"/>
      <c r="X56" s="368"/>
      <c r="Y56" s="368"/>
    </row>
    <row r="57" spans="1:26" s="72" customFormat="1" ht="12.95" customHeight="1" x14ac:dyDescent="0.45">
      <c r="I57" s="73"/>
      <c r="T57" s="368" t="s">
        <v>27</v>
      </c>
      <c r="U57" s="368"/>
      <c r="V57" s="368"/>
      <c r="W57" s="368"/>
      <c r="X57" s="368"/>
      <c r="Y57" s="368"/>
    </row>
    <row r="58" spans="1:26" s="72" customFormat="1" ht="12.95" customHeight="1" x14ac:dyDescent="0.45">
      <c r="I58" s="73"/>
      <c r="U58" s="73"/>
      <c r="V58" s="85"/>
      <c r="W58" s="73"/>
      <c r="Y58" s="86"/>
    </row>
    <row r="59" spans="1:26" s="72" customFormat="1" ht="12.95" customHeight="1" x14ac:dyDescent="0.45">
      <c r="I59" s="73"/>
      <c r="U59" s="73"/>
      <c r="V59" s="85"/>
      <c r="W59" s="73"/>
    </row>
    <row r="60" spans="1:26" s="72" customFormat="1" ht="12.95" customHeight="1" x14ac:dyDescent="0.45">
      <c r="I60" s="73"/>
      <c r="U60" s="73"/>
      <c r="V60" s="73"/>
      <c r="W60" s="73"/>
    </row>
    <row r="61" spans="1:26" s="72" customFormat="1" ht="12.95" customHeight="1" x14ac:dyDescent="0.45">
      <c r="I61" s="73"/>
      <c r="T61" s="368" t="s">
        <v>89</v>
      </c>
      <c r="U61" s="368"/>
      <c r="V61" s="368"/>
      <c r="W61" s="368"/>
      <c r="X61" s="368"/>
      <c r="Y61" s="368"/>
    </row>
    <row r="62" spans="1:26" s="72" customFormat="1" ht="12.95" customHeight="1" x14ac:dyDescent="0.45">
      <c r="I62" s="73"/>
      <c r="T62" s="368" t="s">
        <v>63</v>
      </c>
      <c r="U62" s="368"/>
      <c r="V62" s="368"/>
      <c r="W62" s="368"/>
      <c r="X62" s="368"/>
      <c r="Y62" s="368"/>
    </row>
    <row r="63" spans="1:26" s="72" customFormat="1" ht="12.95" customHeight="1" x14ac:dyDescent="0.45">
      <c r="I63" s="73"/>
      <c r="T63" s="368" t="s">
        <v>90</v>
      </c>
      <c r="U63" s="368"/>
      <c r="V63" s="368"/>
      <c r="W63" s="368"/>
      <c r="X63" s="368"/>
      <c r="Y63" s="368"/>
    </row>
    <row r="64" spans="1:26" s="72" customFormat="1" ht="15" x14ac:dyDescent="0.45"/>
    <row r="65" s="72" customFormat="1" ht="15" x14ac:dyDescent="0.45"/>
    <row r="69" ht="14.1" customHeight="1" x14ac:dyDescent="0.45"/>
    <row r="70" ht="14.1" customHeight="1" x14ac:dyDescent="0.45"/>
    <row r="71" ht="14.1" customHeight="1" x14ac:dyDescent="0.45"/>
    <row r="72" ht="14.1" customHeight="1" x14ac:dyDescent="0.45"/>
    <row r="73" ht="14.1" customHeight="1" x14ac:dyDescent="0.45"/>
    <row r="74" ht="14.1" customHeight="1" x14ac:dyDescent="0.45"/>
    <row r="75" ht="14.1" customHeight="1" x14ac:dyDescent="0.45"/>
  </sheetData>
  <mergeCells count="36"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Z8:Z11"/>
    <mergeCell ref="A9:A11"/>
    <mergeCell ref="B9:B11"/>
    <mergeCell ref="C9:C11"/>
    <mergeCell ref="D9:D11"/>
    <mergeCell ref="E9:E11"/>
    <mergeCell ref="A12:E12"/>
    <mergeCell ref="F52:G52"/>
    <mergeCell ref="T54:Y54"/>
    <mergeCell ref="T56:Y56"/>
    <mergeCell ref="Y8:Y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T57:Y57"/>
    <mergeCell ref="T61:Y61"/>
    <mergeCell ref="T62:Y62"/>
    <mergeCell ref="T63:Y63"/>
    <mergeCell ref="K10:K11"/>
    <mergeCell ref="W10:X10"/>
  </mergeCells>
  <pageMargins left="0.11811023622047245" right="0.11811023622047245" top="0.27559055118110237" bottom="0.11811023622047245" header="0.19685039370078741" footer="0.11811023622047245"/>
  <pageSetup paperSize="9" scale="6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76"/>
  <sheetViews>
    <sheetView topLeftCell="H49" workbookViewId="0">
      <selection activeCell="R64" sqref="R64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265625" style="1" customWidth="1"/>
    <col min="9" max="9" width="10.1328125" style="1" customWidth="1"/>
    <col min="10" max="10" width="7.59765625" style="1" customWidth="1"/>
    <col min="11" max="11" width="9.73046875" style="1" customWidth="1"/>
    <col min="12" max="12" width="8.59765625" style="1" customWidth="1"/>
    <col min="13" max="13" width="7.3984375" style="1" customWidth="1"/>
    <col min="14" max="14" width="8.86328125" style="1" customWidth="1"/>
    <col min="15" max="15" width="8.1328125" style="1" customWidth="1"/>
    <col min="16" max="16" width="8.265625" style="1" customWidth="1"/>
    <col min="17" max="17" width="7.265625" style="1" customWidth="1"/>
    <col min="18" max="18" width="7.1328125" style="1" customWidth="1"/>
    <col min="19" max="20" width="7.86328125" style="1" customWidth="1"/>
    <col min="21" max="22" width="12.73046875" style="1" customWidth="1"/>
    <col min="23" max="23" width="14.73046875" style="1" customWidth="1"/>
    <col min="24" max="24" width="6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127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12080856073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12080856073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2.67</v>
      </c>
      <c r="R14" s="133">
        <f>R15+R35+R45/3</f>
        <v>25.466666666666669</v>
      </c>
      <c r="S14" s="272">
        <f>Q14+R14</f>
        <v>28.13666666666667</v>
      </c>
      <c r="T14" s="275">
        <f>(P14*S14)/100</f>
        <v>28.13666666666667</v>
      </c>
      <c r="U14" s="88">
        <v>383716179</v>
      </c>
      <c r="V14" s="88">
        <f>V15+V35+V45</f>
        <v>929652566</v>
      </c>
      <c r="W14" s="88">
        <f t="shared" ref="W14" si="0">U14+V14</f>
        <v>1313368745</v>
      </c>
      <c r="X14" s="135">
        <f>W14/H14*100</f>
        <v>10.871487393474553</v>
      </c>
      <c r="Y14" s="136">
        <f t="shared" ref="Y14:Y52" si="1">H14-W14</f>
        <v>10767487328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194">
        <f>H16+H19+H21+H28+H31</f>
        <v>8647983653.9899998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71.584195703793966</v>
      </c>
      <c r="Q15" s="187">
        <v>16</v>
      </c>
      <c r="R15" s="187">
        <f>R16+R19+R21+R28+R31/5</f>
        <v>22.133333333333336</v>
      </c>
      <c r="S15" s="274">
        <f t="shared" ref="S15:S51" si="2">Q15+R15</f>
        <v>38.13333333333334</v>
      </c>
      <c r="T15" s="268">
        <f t="shared" ref="T15:T51" si="3">(P15*S15)/100</f>
        <v>27.29743996171344</v>
      </c>
      <c r="U15" s="188">
        <v>383716179</v>
      </c>
      <c r="V15" s="188">
        <f>V16+V19+V21+V28+V31</f>
        <v>895501566</v>
      </c>
      <c r="W15" s="189">
        <f>U15+V15</f>
        <v>1279217745</v>
      </c>
      <c r="X15" s="187">
        <f t="shared" ref="X15:X52" si="4">W15/H15*100</f>
        <v>14.792092540667506</v>
      </c>
      <c r="Y15" s="190">
        <f t="shared" si="1"/>
        <v>7368765908.9899998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33250009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0.27522891423490931</v>
      </c>
      <c r="Q16" s="166">
        <v>0</v>
      </c>
      <c r="R16" s="166">
        <f>SUM(R17:R18)</f>
        <v>0</v>
      </c>
      <c r="S16" s="273">
        <f t="shared" si="2"/>
        <v>0</v>
      </c>
      <c r="T16" s="269">
        <f t="shared" si="3"/>
        <v>0</v>
      </c>
      <c r="U16" s="168">
        <v>0</v>
      </c>
      <c r="V16" s="168">
        <f>SUM(V17:V18)</f>
        <v>0</v>
      </c>
      <c r="W16" s="173">
        <f t="shared" ref="W16:W52" si="5">U16+V16</f>
        <v>0</v>
      </c>
      <c r="X16" s="166">
        <f t="shared" si="4"/>
        <v>0</v>
      </c>
      <c r="Y16" s="169">
        <f t="shared" si="1"/>
        <v>33250009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26740000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0.22134193006207831</v>
      </c>
      <c r="Q17" s="24">
        <v>0</v>
      </c>
      <c r="R17" s="24">
        <v>0</v>
      </c>
      <c r="S17" s="271">
        <f t="shared" si="2"/>
        <v>0</v>
      </c>
      <c r="T17" s="270">
        <f t="shared" si="3"/>
        <v>0</v>
      </c>
      <c r="U17" s="26">
        <v>0</v>
      </c>
      <c r="V17" s="26">
        <v>0</v>
      </c>
      <c r="W17" s="27">
        <f t="shared" si="5"/>
        <v>0</v>
      </c>
      <c r="X17" s="24">
        <f t="shared" si="4"/>
        <v>0</v>
      </c>
      <c r="Y17" s="28">
        <f t="shared" si="1"/>
        <v>26740000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5.3886984172830978E-2</v>
      </c>
      <c r="Q18" s="24">
        <v>0</v>
      </c>
      <c r="R18" s="24">
        <v>0</v>
      </c>
      <c r="S18" s="271">
        <f t="shared" si="2"/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48.123609559370337</v>
      </c>
      <c r="Q19" s="166">
        <v>16</v>
      </c>
      <c r="R19" s="166">
        <f>R20</f>
        <v>8</v>
      </c>
      <c r="S19" s="273">
        <f t="shared" si="2"/>
        <v>24</v>
      </c>
      <c r="T19" s="269">
        <f t="shared" si="3"/>
        <v>11.549666294248881</v>
      </c>
      <c r="U19" s="168">
        <v>383716179</v>
      </c>
      <c r="V19" s="168">
        <f>SUM(V20)</f>
        <v>382263520</v>
      </c>
      <c r="W19" s="168">
        <f t="shared" si="5"/>
        <v>765979699</v>
      </c>
      <c r="X19" s="166">
        <f t="shared" si="4"/>
        <v>13.175325538000537</v>
      </c>
      <c r="Y19" s="169">
        <f t="shared" si="1"/>
        <v>5047764309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48.123609559370337</v>
      </c>
      <c r="Q20" s="24">
        <v>8</v>
      </c>
      <c r="R20" s="24">
        <v>8</v>
      </c>
      <c r="S20" s="271">
        <f t="shared" si="2"/>
        <v>16</v>
      </c>
      <c r="T20" s="270">
        <f t="shared" si="3"/>
        <v>7.6997775294992543</v>
      </c>
      <c r="U20" s="32">
        <v>383716179</v>
      </c>
      <c r="V20" s="26">
        <f>15281155+178723428+11460900+176798037</f>
        <v>382263520</v>
      </c>
      <c r="W20" s="26">
        <f t="shared" si="5"/>
        <v>765979699</v>
      </c>
      <c r="X20" s="24">
        <f t="shared" si="4"/>
        <v>13.175325538000537</v>
      </c>
      <c r="Y20" s="28">
        <f t="shared" si="1"/>
        <v>5047764309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323844262.99000001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2.6806400228024634</v>
      </c>
      <c r="Q21" s="166">
        <v>0</v>
      </c>
      <c r="R21" s="166">
        <f>(SUM(R22:R27))/6</f>
        <v>0.33333333333333331</v>
      </c>
      <c r="S21" s="273">
        <f t="shared" si="2"/>
        <v>0.33333333333333331</v>
      </c>
      <c r="T21" s="269">
        <f t="shared" si="3"/>
        <v>8.9354667426748777E-3</v>
      </c>
      <c r="U21" s="168">
        <v>0</v>
      </c>
      <c r="V21" s="168">
        <f>SUM(V22:V27)</f>
        <v>4830000</v>
      </c>
      <c r="W21" s="173">
        <f t="shared" si="5"/>
        <v>4830000</v>
      </c>
      <c r="X21" s="166">
        <f>W21/H21*100</f>
        <v>1.4914576393620242</v>
      </c>
      <c r="Y21" s="169">
        <f t="shared" si="1"/>
        <v>319014262.99000001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3.2020495705147367E-2</v>
      </c>
      <c r="Q22" s="24">
        <v>0</v>
      </c>
      <c r="R22" s="24">
        <v>0</v>
      </c>
      <c r="S22" s="271">
        <f t="shared" si="2"/>
        <v>0</v>
      </c>
      <c r="T22" s="270">
        <f t="shared" si="3"/>
        <v>0</v>
      </c>
      <c r="U22" s="32">
        <v>0</v>
      </c>
      <c r="V22" s="32">
        <v>0</v>
      </c>
      <c r="W22" s="26">
        <f t="shared" si="5"/>
        <v>0</v>
      </c>
      <c r="X22" s="24">
        <f t="shared" si="4"/>
        <v>0</v>
      </c>
      <c r="Y22" s="28">
        <f t="shared" si="1"/>
        <v>3868350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94919208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0.78569935297995008</v>
      </c>
      <c r="Q23" s="24">
        <v>0</v>
      </c>
      <c r="R23" s="24">
        <v>0</v>
      </c>
      <c r="S23" s="271">
        <f t="shared" si="2"/>
        <v>0</v>
      </c>
      <c r="T23" s="270">
        <f t="shared" si="3"/>
        <v>0</v>
      </c>
      <c r="U23" s="32">
        <v>0</v>
      </c>
      <c r="V23" s="32">
        <v>0</v>
      </c>
      <c r="W23" s="26">
        <f t="shared" si="5"/>
        <v>0</v>
      </c>
      <c r="X23" s="24">
        <f t="shared" si="4"/>
        <v>0</v>
      </c>
      <c r="Y23" s="28">
        <f t="shared" si="1"/>
        <v>94919208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8.1225369631965486E-2</v>
      </c>
      <c r="Q24" s="24">
        <v>0</v>
      </c>
      <c r="R24" s="24">
        <v>0</v>
      </c>
      <c r="S24" s="271">
        <f t="shared" si="2"/>
        <v>0</v>
      </c>
      <c r="T24" s="270">
        <f t="shared" si="3"/>
        <v>0</v>
      </c>
      <c r="U24" s="32">
        <v>0</v>
      </c>
      <c r="V24" s="32">
        <v>0</v>
      </c>
      <c r="W24" s="26">
        <f t="shared" si="5"/>
        <v>0</v>
      </c>
      <c r="X24" s="24">
        <f t="shared" si="4"/>
        <v>0</v>
      </c>
      <c r="Y24" s="28">
        <f t="shared" si="1"/>
        <v>9812720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9604984.9900000002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7.9505830811663875E-2</v>
      </c>
      <c r="Q25" s="24">
        <v>0</v>
      </c>
      <c r="R25" s="24">
        <v>0</v>
      </c>
      <c r="S25" s="271">
        <f t="shared" si="2"/>
        <v>0</v>
      </c>
      <c r="T25" s="270">
        <f t="shared" si="3"/>
        <v>0</v>
      </c>
      <c r="U25" s="32">
        <v>0</v>
      </c>
      <c r="V25" s="32">
        <v>0</v>
      </c>
      <c r="W25" s="26">
        <f t="shared" si="5"/>
        <v>0</v>
      </c>
      <c r="X25" s="24">
        <f t="shared" si="4"/>
        <v>0</v>
      </c>
      <c r="Y25" s="28">
        <f t="shared" si="1"/>
        <v>9604984.9900000002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34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6.151881915562326E-2</v>
      </c>
      <c r="Q26" s="24">
        <v>0</v>
      </c>
      <c r="R26" s="24">
        <v>0</v>
      </c>
      <c r="S26" s="271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198207000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1.6406701545181135</v>
      </c>
      <c r="Q27" s="24">
        <v>0</v>
      </c>
      <c r="R27" s="24">
        <v>2</v>
      </c>
      <c r="S27" s="271">
        <f t="shared" si="2"/>
        <v>2</v>
      </c>
      <c r="T27" s="270">
        <f t="shared" si="3"/>
        <v>3.2813403090362271E-2</v>
      </c>
      <c r="U27" s="32">
        <v>0</v>
      </c>
      <c r="V27" s="26">
        <f>4830000</f>
        <v>4830000</v>
      </c>
      <c r="W27" s="26">
        <f t="shared" si="5"/>
        <v>4830000</v>
      </c>
      <c r="X27" s="24">
        <f t="shared" si="4"/>
        <v>2.436846327324464</v>
      </c>
      <c r="Y27" s="28">
        <f t="shared" si="1"/>
        <v>193377000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17.236195741573091</v>
      </c>
      <c r="Q28" s="166">
        <v>0</v>
      </c>
      <c r="R28" s="166">
        <f>SUM(R29:R30)/2</f>
        <v>13</v>
      </c>
      <c r="S28" s="273">
        <f t="shared" si="2"/>
        <v>13</v>
      </c>
      <c r="T28" s="269">
        <f t="shared" si="3"/>
        <v>2.240705446404502</v>
      </c>
      <c r="U28" s="168">
        <v>0</v>
      </c>
      <c r="V28" s="168">
        <f>SUM(V29:V30)</f>
        <v>488010470</v>
      </c>
      <c r="W28" s="173">
        <f t="shared" si="5"/>
        <v>488010470</v>
      </c>
      <c r="X28" s="166">
        <f t="shared" si="4"/>
        <v>23.436351979560865</v>
      </c>
      <c r="Y28" s="169">
        <f t="shared" si="1"/>
        <v>1594269530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0.13244094543729443</v>
      </c>
      <c r="Q29" s="24">
        <v>0</v>
      </c>
      <c r="R29" s="24">
        <v>3</v>
      </c>
      <c r="S29" s="271">
        <f t="shared" si="2"/>
        <v>3</v>
      </c>
      <c r="T29" s="270">
        <f t="shared" si="3"/>
        <v>3.9732283631188324E-3</v>
      </c>
      <c r="U29" s="32">
        <v>0</v>
      </c>
      <c r="V29" s="32">
        <f>510470</f>
        <v>510470</v>
      </c>
      <c r="W29" s="26">
        <f t="shared" si="5"/>
        <v>510470</v>
      </c>
      <c r="X29" s="24">
        <f t="shared" si="4"/>
        <v>3.1904374999999998</v>
      </c>
      <c r="Y29" s="28">
        <f t="shared" si="1"/>
        <v>15489530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17.103754796135796</v>
      </c>
      <c r="Q30" s="24">
        <v>0</v>
      </c>
      <c r="R30" s="24">
        <v>23</v>
      </c>
      <c r="S30" s="271">
        <f t="shared" si="2"/>
        <v>23</v>
      </c>
      <c r="T30" s="270">
        <f t="shared" si="3"/>
        <v>3.9338636031112331</v>
      </c>
      <c r="U30" s="32">
        <v>0</v>
      </c>
      <c r="V30" s="32">
        <f>105000000+220000000+52500000+110000000</f>
        <v>487500000</v>
      </c>
      <c r="W30" s="26">
        <f t="shared" si="5"/>
        <v>487500000</v>
      </c>
      <c r="X30" s="24">
        <f t="shared" si="4"/>
        <v>23.593123874789477</v>
      </c>
      <c r="Y30" s="28">
        <f t="shared" si="1"/>
        <v>1578780000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3.268521465813178</v>
      </c>
      <c r="Q31" s="166">
        <v>0</v>
      </c>
      <c r="R31" s="166">
        <f>SUM(R32:R34)/3</f>
        <v>4</v>
      </c>
      <c r="S31" s="273">
        <f t="shared" si="2"/>
        <v>4</v>
      </c>
      <c r="T31" s="269">
        <f t="shared" si="3"/>
        <v>0.13074085863252713</v>
      </c>
      <c r="U31" s="168">
        <v>0</v>
      </c>
      <c r="V31" s="168">
        <f>SUM(V32:V34)</f>
        <v>20397576</v>
      </c>
      <c r="W31" s="173">
        <f t="shared" si="5"/>
        <v>20397576</v>
      </c>
      <c r="X31" s="166">
        <f t="shared" si="4"/>
        <v>5.1657038938035624</v>
      </c>
      <c r="Y31" s="169">
        <f t="shared" si="1"/>
        <v>374467798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0.60516075647481138</v>
      </c>
      <c r="Q32" s="24">
        <v>0</v>
      </c>
      <c r="R32" s="24">
        <v>7</v>
      </c>
      <c r="S32" s="271">
        <f t="shared" si="2"/>
        <v>7</v>
      </c>
      <c r="T32" s="270">
        <f t="shared" si="3"/>
        <v>4.2361252953236797E-2</v>
      </c>
      <c r="U32" s="32">
        <v>0</v>
      </c>
      <c r="V32" s="32">
        <f>5090064</f>
        <v>5090064</v>
      </c>
      <c r="W32" s="26">
        <f t="shared" si="5"/>
        <v>5090064</v>
      </c>
      <c r="X32" s="24">
        <f t="shared" si="4"/>
        <v>6.9623327488147773</v>
      </c>
      <c r="Y32" s="28">
        <f t="shared" si="1"/>
        <v>68018536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2.5423587049136098</v>
      </c>
      <c r="Q33" s="24">
        <v>0</v>
      </c>
      <c r="R33" s="24">
        <v>5</v>
      </c>
      <c r="S33" s="271">
        <f t="shared" si="2"/>
        <v>5</v>
      </c>
      <c r="T33" s="270">
        <f t="shared" si="3"/>
        <v>0.12711793524568049</v>
      </c>
      <c r="U33" s="45">
        <v>0</v>
      </c>
      <c r="V33" s="45">
        <f>15307512</f>
        <v>15307512</v>
      </c>
      <c r="W33" s="26">
        <f>U33+V33</f>
        <v>15307512</v>
      </c>
      <c r="X33" s="24">
        <f>W33/H33*100</f>
        <v>4.9839086378096749</v>
      </c>
      <c r="Y33" s="28">
        <f>H33-W33</f>
        <v>291831184</v>
      </c>
      <c r="Z33" s="42"/>
    </row>
    <row r="34" spans="1:26" ht="17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0.12100200442475713</v>
      </c>
      <c r="Q34" s="226">
        <v>0</v>
      </c>
      <c r="R34" s="226">
        <v>0</v>
      </c>
      <c r="S34" s="271">
        <f t="shared" si="2"/>
        <v>0</v>
      </c>
      <c r="T34" s="270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2758134014.0100002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22.830617278640268</v>
      </c>
      <c r="Q35" s="239">
        <v>0</v>
      </c>
      <c r="R35" s="239">
        <f>R36+R40+R43/3</f>
        <v>3</v>
      </c>
      <c r="S35" s="274">
        <f t="shared" si="2"/>
        <v>3</v>
      </c>
      <c r="T35" s="268">
        <f t="shared" si="3"/>
        <v>0.68491851835920814</v>
      </c>
      <c r="U35" s="240">
        <v>0</v>
      </c>
      <c r="V35" s="241">
        <f>V36+V40+V43</f>
        <v>32396000</v>
      </c>
      <c r="W35" s="241">
        <f t="shared" si="5"/>
        <v>32396000</v>
      </c>
      <c r="X35" s="239">
        <f>W35/H35*100</f>
        <v>1.1745622161738272</v>
      </c>
      <c r="Y35" s="242">
        <f>H35-W35</f>
        <v>2725738014.0100002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2616635000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21.659350829019679</v>
      </c>
      <c r="Q36" s="166">
        <v>0</v>
      </c>
      <c r="R36" s="166">
        <f>(R39+R37)/2</f>
        <v>0.5</v>
      </c>
      <c r="S36" s="273">
        <f t="shared" si="2"/>
        <v>0.5</v>
      </c>
      <c r="T36" s="269">
        <f t="shared" si="3"/>
        <v>0.1082967541450984</v>
      </c>
      <c r="U36" s="173">
        <v>0</v>
      </c>
      <c r="V36" s="173">
        <f>SUM(V37:V39)</f>
        <v>26819000</v>
      </c>
      <c r="W36" s="173">
        <f t="shared" si="5"/>
        <v>26819000</v>
      </c>
      <c r="X36" s="166">
        <f>W36/H36*100</f>
        <v>1.0249423400665358</v>
      </c>
      <c r="Y36" s="169">
        <f>H36-W36</f>
        <v>2589816000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82680390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0.68439181379526404</v>
      </c>
      <c r="Q37" s="24">
        <v>0</v>
      </c>
      <c r="R37" s="24">
        <v>0</v>
      </c>
      <c r="S37" s="271">
        <f t="shared" si="2"/>
        <v>0</v>
      </c>
      <c r="T37" s="270">
        <f t="shared" si="3"/>
        <v>0</v>
      </c>
      <c r="U37" s="32">
        <v>0</v>
      </c>
      <c r="V37" s="26">
        <v>0</v>
      </c>
      <c r="W37" s="26">
        <f>U37+V37</f>
        <v>0</v>
      </c>
      <c r="X37" s="24">
        <f>W37/H37*100</f>
        <v>0</v>
      </c>
      <c r="Y37" s="28">
        <f>H37-W37</f>
        <v>82680390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4999610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4.1384567201109473E-2</v>
      </c>
      <c r="Q38" s="24">
        <v>0</v>
      </c>
      <c r="R38" s="24">
        <v>0</v>
      </c>
      <c r="S38" s="271">
        <f t="shared" si="2"/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6">U38+V38</f>
        <v>0</v>
      </c>
      <c r="X38" s="24">
        <f>W38/H38*100</f>
        <v>0</v>
      </c>
      <c r="Y38" s="28">
        <f t="shared" ref="Y38" si="7">H38-W38</f>
        <v>4999610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2528955000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20.933574448023307</v>
      </c>
      <c r="Q39" s="24">
        <v>0</v>
      </c>
      <c r="R39" s="24">
        <v>1</v>
      </c>
      <c r="S39" s="271">
        <f t="shared" si="2"/>
        <v>1</v>
      </c>
      <c r="T39" s="270">
        <f t="shared" si="3"/>
        <v>0.20933574448023307</v>
      </c>
      <c r="U39" s="32">
        <v>0</v>
      </c>
      <c r="V39" s="26">
        <f>26819000</f>
        <v>26819000</v>
      </c>
      <c r="W39" s="26">
        <f t="shared" si="5"/>
        <v>26819000</v>
      </c>
      <c r="X39" s="24">
        <f>W39/H39*100</f>
        <v>1.0604775490271674</v>
      </c>
      <c r="Y39" s="28">
        <f t="shared" si="1"/>
        <v>2502136000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1.0907563107593361</v>
      </c>
      <c r="Q40" s="166">
        <v>0</v>
      </c>
      <c r="R40" s="166">
        <f>SUM(R41:R42)/2</f>
        <v>2.5</v>
      </c>
      <c r="S40" s="273">
        <f t="shared" si="2"/>
        <v>2.5</v>
      </c>
      <c r="T40" s="269">
        <f t="shared" si="3"/>
        <v>2.7268907768983403E-2</v>
      </c>
      <c r="U40" s="168">
        <v>0</v>
      </c>
      <c r="V40" s="173">
        <f>SUM(V42)</f>
        <v>5577000</v>
      </c>
      <c r="W40" s="173">
        <f t="shared" si="5"/>
        <v>5577000</v>
      </c>
      <c r="X40" s="166">
        <f t="shared" si="4"/>
        <v>4.232287871142332</v>
      </c>
      <c r="Y40" s="169">
        <f t="shared" si="1"/>
        <v>126195700.01000001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0.10730518542450315</v>
      </c>
      <c r="Q41" s="24">
        <v>0</v>
      </c>
      <c r="R41" s="24">
        <v>0</v>
      </c>
      <c r="S41" s="271">
        <f t="shared" si="2"/>
        <v>0</v>
      </c>
      <c r="T41" s="270">
        <f t="shared" si="3"/>
        <v>0</v>
      </c>
      <c r="U41" s="32">
        <v>0</v>
      </c>
      <c r="V41" s="26"/>
      <c r="W41" s="26">
        <f t="shared" si="5"/>
        <v>0</v>
      </c>
      <c r="X41" s="24">
        <f t="shared" si="4"/>
        <v>0</v>
      </c>
      <c r="Y41" s="28">
        <f t="shared" si="1"/>
        <v>12963385.01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0.98345112533483292</v>
      </c>
      <c r="Q42" s="24">
        <v>0</v>
      </c>
      <c r="R42" s="24">
        <v>5</v>
      </c>
      <c r="S42" s="271">
        <f t="shared" si="2"/>
        <v>5</v>
      </c>
      <c r="T42" s="270">
        <f t="shared" si="3"/>
        <v>4.9172556266741649E-2</v>
      </c>
      <c r="U42" s="32">
        <v>0</v>
      </c>
      <c r="V42" s="26">
        <f>5577000</f>
        <v>5577000</v>
      </c>
      <c r="W42" s="26">
        <f t="shared" si="5"/>
        <v>5577000</v>
      </c>
      <c r="X42" s="24">
        <f t="shared" si="4"/>
        <v>4.6940763861823465</v>
      </c>
      <c r="Y42" s="28">
        <f t="shared" si="1"/>
        <v>113232315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9726314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8.0510138861249567E-2</v>
      </c>
      <c r="Q43" s="166">
        <v>0</v>
      </c>
      <c r="R43" s="166">
        <v>0</v>
      </c>
      <c r="S43" s="273">
        <f t="shared" si="2"/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9726314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9726314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8.0510138861249567E-2</v>
      </c>
      <c r="Q44" s="24">
        <v>0</v>
      </c>
      <c r="R44" s="24">
        <v>0</v>
      </c>
      <c r="S44" s="271">
        <f t="shared" si="2"/>
        <v>0</v>
      </c>
      <c r="T44" s="270">
        <f t="shared" si="3"/>
        <v>0</v>
      </c>
      <c r="U44" s="32">
        <v>0</v>
      </c>
      <c r="V44" s="26"/>
      <c r="W44" s="26">
        <f t="shared" si="5"/>
        <v>0</v>
      </c>
      <c r="X44" s="24">
        <f t="shared" si="4"/>
        <v>0</v>
      </c>
      <c r="Y44" s="28">
        <f t="shared" si="1"/>
        <v>9726314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674738405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5.5851870175657545</v>
      </c>
      <c r="Q45" s="187">
        <v>0</v>
      </c>
      <c r="R45" s="187">
        <f>R46+R50/2</f>
        <v>1</v>
      </c>
      <c r="S45" s="274">
        <f t="shared" si="2"/>
        <v>1</v>
      </c>
      <c r="T45" s="268">
        <f t="shared" si="3"/>
        <v>5.5851870175657542E-2</v>
      </c>
      <c r="U45" s="188">
        <v>0</v>
      </c>
      <c r="V45" s="189">
        <f>V46+V50</f>
        <v>1755000</v>
      </c>
      <c r="W45" s="189">
        <f t="shared" si="5"/>
        <v>1755000</v>
      </c>
      <c r="X45" s="187">
        <f t="shared" si="4"/>
        <v>0.26010080158398574</v>
      </c>
      <c r="Y45" s="190">
        <f t="shared" si="1"/>
        <v>672983405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614738405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5.0885334721759001</v>
      </c>
      <c r="Q46" s="166">
        <v>0</v>
      </c>
      <c r="R46" s="166">
        <f>SUM(R47)</f>
        <v>1</v>
      </c>
      <c r="S46" s="273">
        <f t="shared" si="2"/>
        <v>1</v>
      </c>
      <c r="T46" s="269">
        <f t="shared" si="3"/>
        <v>5.0885334721759004E-2</v>
      </c>
      <c r="U46" s="168">
        <v>0</v>
      </c>
      <c r="V46" s="173">
        <f>SUM(V47:V49)</f>
        <v>1755000</v>
      </c>
      <c r="W46" s="173">
        <f t="shared" si="5"/>
        <v>1755000</v>
      </c>
      <c r="X46" s="166">
        <f t="shared" si="4"/>
        <v>0.28548728788142008</v>
      </c>
      <c r="Y46" s="169">
        <f t="shared" si="1"/>
        <v>612983405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449219600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3.7184417833102015</v>
      </c>
      <c r="Q47" s="24">
        <v>0</v>
      </c>
      <c r="R47" s="24">
        <v>1</v>
      </c>
      <c r="S47" s="271">
        <f t="shared" si="2"/>
        <v>1</v>
      </c>
      <c r="T47" s="270">
        <f t="shared" si="3"/>
        <v>3.7184417833102015E-2</v>
      </c>
      <c r="U47" s="26">
        <v>0</v>
      </c>
      <c r="V47" s="26">
        <v>1755000</v>
      </c>
      <c r="W47" s="26">
        <f t="shared" si="5"/>
        <v>1755000</v>
      </c>
      <c r="X47" s="24">
        <f t="shared" si="4"/>
        <v>0.39067752163975034</v>
      </c>
      <c r="Y47" s="28">
        <f t="shared" si="1"/>
        <v>447464600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46170000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0.38217490317749275</v>
      </c>
      <c r="Q48" s="24">
        <v>0</v>
      </c>
      <c r="R48" s="24">
        <v>0</v>
      </c>
      <c r="S48" s="271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f t="shared" si="4"/>
        <v>0</v>
      </c>
      <c r="Y48" s="28">
        <f t="shared" si="1"/>
        <v>46170000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0.98791678568820573</v>
      </c>
      <c r="Q49" s="24">
        <v>0</v>
      </c>
      <c r="R49" s="24">
        <v>0</v>
      </c>
      <c r="S49" s="271">
        <f t="shared" si="2"/>
        <v>0</v>
      </c>
      <c r="T49" s="270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60000000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0.49665354538985412</v>
      </c>
      <c r="Q50" s="166">
        <v>0</v>
      </c>
      <c r="R50" s="166">
        <f>SUM(R51)</f>
        <v>0</v>
      </c>
      <c r="S50" s="273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60000000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60000000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0.49665354538985412</v>
      </c>
      <c r="Q51" s="24">
        <v>0</v>
      </c>
      <c r="R51" s="24">
        <v>0</v>
      </c>
      <c r="S51" s="271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60000000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12080856073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2.67</v>
      </c>
      <c r="R52" s="120">
        <f>(R45+R35+R15)/3</f>
        <v>8.7111111111111121</v>
      </c>
      <c r="S52" s="120">
        <f>Q52+R52</f>
        <v>11.381111111111112</v>
      </c>
      <c r="T52" s="120">
        <f t="shared" ref="T52" si="8">(P52*S52)/100</f>
        <v>11.381111111111114</v>
      </c>
      <c r="U52" s="121">
        <v>383716179</v>
      </c>
      <c r="V52" s="121">
        <f>V15+V35+V45</f>
        <v>929652566</v>
      </c>
      <c r="W52" s="121">
        <f t="shared" si="5"/>
        <v>1313368745</v>
      </c>
      <c r="X52" s="122">
        <f t="shared" si="4"/>
        <v>10.871487393474553</v>
      </c>
      <c r="Y52" s="123">
        <f t="shared" si="1"/>
        <v>10767487328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T55" s="368" t="s">
        <v>128</v>
      </c>
      <c r="U55" s="368"/>
      <c r="V55" s="368"/>
      <c r="W55" s="368"/>
      <c r="X55" s="368"/>
      <c r="Y55" s="368"/>
    </row>
    <row r="56" spans="1:26" s="72" customFormat="1" ht="12.95" customHeight="1" x14ac:dyDescent="0.45">
      <c r="H56" s="73"/>
      <c r="I56" s="73"/>
      <c r="U56" s="73"/>
      <c r="V56" s="73"/>
      <c r="W56" s="73"/>
      <c r="Y56" s="84"/>
    </row>
    <row r="57" spans="1:26" s="72" customFormat="1" ht="12.95" customHeight="1" x14ac:dyDescent="0.45">
      <c r="I57" s="73"/>
      <c r="T57" s="368" t="s">
        <v>88</v>
      </c>
      <c r="U57" s="368"/>
      <c r="V57" s="368"/>
      <c r="W57" s="368"/>
      <c r="X57" s="368"/>
      <c r="Y57" s="368"/>
    </row>
    <row r="58" spans="1:26" s="72" customFormat="1" ht="12.95" customHeight="1" x14ac:dyDescent="0.45">
      <c r="I58" s="73"/>
      <c r="T58" s="368" t="s">
        <v>27</v>
      </c>
      <c r="U58" s="368"/>
      <c r="V58" s="368"/>
      <c r="W58" s="368"/>
      <c r="X58" s="368"/>
      <c r="Y58" s="368"/>
    </row>
    <row r="59" spans="1:26" s="72" customFormat="1" ht="12.95" customHeight="1" x14ac:dyDescent="0.45">
      <c r="I59" s="73"/>
      <c r="U59" s="73"/>
      <c r="V59" s="85"/>
      <c r="W59" s="73"/>
      <c r="Y59" s="86"/>
    </row>
    <row r="60" spans="1:26" s="72" customFormat="1" ht="12.95" customHeight="1" x14ac:dyDescent="0.45">
      <c r="I60" s="73"/>
      <c r="U60" s="73"/>
      <c r="V60" s="85"/>
      <c r="W60" s="73"/>
    </row>
    <row r="61" spans="1:26" s="72" customFormat="1" ht="12.95" customHeight="1" x14ac:dyDescent="0.45">
      <c r="I61" s="73"/>
      <c r="U61" s="73"/>
      <c r="V61" s="73"/>
      <c r="W61" s="73"/>
    </row>
    <row r="62" spans="1:26" s="72" customFormat="1" ht="12.95" customHeight="1" x14ac:dyDescent="0.45">
      <c r="I62" s="73"/>
      <c r="T62" s="368" t="s">
        <v>89</v>
      </c>
      <c r="U62" s="368"/>
      <c r="V62" s="368"/>
      <c r="W62" s="368"/>
      <c r="X62" s="368"/>
      <c r="Y62" s="368"/>
    </row>
    <row r="63" spans="1:26" s="72" customFormat="1" ht="12.95" customHeight="1" x14ac:dyDescent="0.45">
      <c r="I63" s="73"/>
      <c r="T63" s="368" t="s">
        <v>63</v>
      </c>
      <c r="U63" s="368"/>
      <c r="V63" s="368"/>
      <c r="W63" s="368"/>
      <c r="X63" s="368"/>
      <c r="Y63" s="368"/>
    </row>
    <row r="64" spans="1:26" s="72" customFormat="1" ht="12.95" customHeight="1" x14ac:dyDescent="0.45">
      <c r="I64" s="73"/>
      <c r="T64" s="368" t="s">
        <v>90</v>
      </c>
      <c r="U64" s="368"/>
      <c r="V64" s="368"/>
      <c r="W64" s="368"/>
      <c r="X64" s="368"/>
      <c r="Y64" s="368"/>
    </row>
    <row r="65" s="72" customFormat="1" ht="15" x14ac:dyDescent="0.45"/>
    <row r="66" s="72" customFormat="1" ht="15" x14ac:dyDescent="0.45"/>
    <row r="70" ht="14.1" customHeight="1" x14ac:dyDescent="0.45"/>
    <row r="71" ht="14.1" customHeight="1" x14ac:dyDescent="0.45"/>
    <row r="72" ht="14.1" customHeight="1" x14ac:dyDescent="0.45"/>
    <row r="73" ht="14.1" customHeight="1" x14ac:dyDescent="0.45"/>
    <row r="74" ht="14.1" customHeight="1" x14ac:dyDescent="0.45"/>
    <row r="75" ht="14.1" customHeight="1" x14ac:dyDescent="0.45"/>
    <row r="76" ht="14.1" customHeight="1" x14ac:dyDescent="0.45"/>
  </sheetData>
  <mergeCells count="36"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Z8:Z11"/>
    <mergeCell ref="A9:A11"/>
    <mergeCell ref="B9:B11"/>
    <mergeCell ref="C9:C11"/>
    <mergeCell ref="D9:D11"/>
    <mergeCell ref="E9:E11"/>
    <mergeCell ref="A12:E12"/>
    <mergeCell ref="F52:G52"/>
    <mergeCell ref="T55:Y55"/>
    <mergeCell ref="T57:Y57"/>
    <mergeCell ref="Y8:Y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T58:Y58"/>
    <mergeCell ref="T62:Y62"/>
    <mergeCell ref="T63:Y63"/>
    <mergeCell ref="T64:Y64"/>
    <mergeCell ref="K10:K11"/>
    <mergeCell ref="W10:X10"/>
  </mergeCells>
  <pageMargins left="0.15748031496063" right="0.118110236220472" top="0.69685039400000004" bottom="0.65748031500000004" header="0.118110236220472" footer="0.118110236220472"/>
  <pageSetup paperSize="9" scale="6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6"/>
  <sheetViews>
    <sheetView topLeftCell="G45" workbookViewId="0">
      <selection activeCell="W52" sqref="W52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265625" style="1" customWidth="1"/>
    <col min="9" max="9" width="10.1328125" style="1" customWidth="1"/>
    <col min="10" max="10" width="7.59765625" style="1" customWidth="1"/>
    <col min="11" max="11" width="9.73046875" style="1" customWidth="1"/>
    <col min="12" max="12" width="8.59765625" style="1" customWidth="1"/>
    <col min="13" max="13" width="7.3984375" style="1" customWidth="1"/>
    <col min="14" max="14" width="9.1328125" style="1" customWidth="1"/>
    <col min="15" max="15" width="8.1328125" style="1" customWidth="1"/>
    <col min="16" max="16" width="8.2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2.73046875" style="1" customWidth="1"/>
    <col min="23" max="23" width="15" style="1" customWidth="1"/>
    <col min="24" max="24" width="6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129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12080856073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12080856073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11.381111111111112</v>
      </c>
      <c r="R14" s="133">
        <f>(R15+R35+R45)/3</f>
        <v>1.7666666666666666</v>
      </c>
      <c r="S14" s="133">
        <f>Q14+R14</f>
        <v>13.14777777777778</v>
      </c>
      <c r="T14" s="275">
        <f>(P14*S14)/100</f>
        <v>13.147777777777781</v>
      </c>
      <c r="U14" s="88">
        <f>U15+U35+U45</f>
        <v>1313368745</v>
      </c>
      <c r="V14" s="88">
        <f>V15+V35+V45</f>
        <v>432123778</v>
      </c>
      <c r="W14" s="88">
        <f t="shared" ref="W14" si="0">U14+V14</f>
        <v>1745492523</v>
      </c>
      <c r="X14" s="135">
        <f>W14/H14*100</f>
        <v>14.448417499990523</v>
      </c>
      <c r="Y14" s="136">
        <f t="shared" ref="Y14:Y52" si="1">H14-W14</f>
        <v>10335363550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194">
        <f>H16+H19+H21+H28+H31</f>
        <v>8647983653.9899998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71.584195703793966</v>
      </c>
      <c r="Q15" s="187">
        <v>38.13333333333334</v>
      </c>
      <c r="R15" s="187">
        <f>(R16+R19+R21+R28+R31)/5</f>
        <v>1.3</v>
      </c>
      <c r="S15" s="187">
        <f t="shared" ref="S15:S51" si="2">Q15+R15</f>
        <v>39.433333333333337</v>
      </c>
      <c r="T15" s="268">
        <f t="shared" ref="T15:T51" si="3">(P15*S15)/100</f>
        <v>28.228034505862755</v>
      </c>
      <c r="U15" s="188">
        <f>U16+U19+U21+U28+U31</f>
        <v>1279217745</v>
      </c>
      <c r="V15" s="188">
        <f>V16+V19+V21+V28+V31</f>
        <v>245532178</v>
      </c>
      <c r="W15" s="189">
        <f>U15+V15</f>
        <v>1524749923</v>
      </c>
      <c r="X15" s="187">
        <f t="shared" ref="X15:X52" si="4">W15/H15*100</f>
        <v>17.631276653679983</v>
      </c>
      <c r="Y15" s="190">
        <f t="shared" si="1"/>
        <v>7123233730.9899998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33250009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0.27522891423490931</v>
      </c>
      <c r="Q16" s="166">
        <v>0</v>
      </c>
      <c r="R16" s="166">
        <f>SUM(R17:R18)/2</f>
        <v>0</v>
      </c>
      <c r="S16" s="166">
        <f t="shared" si="2"/>
        <v>0</v>
      </c>
      <c r="T16" s="269">
        <f t="shared" si="3"/>
        <v>0</v>
      </c>
      <c r="U16" s="168">
        <v>0</v>
      </c>
      <c r="V16" s="168">
        <f>SUM(V17:V18)</f>
        <v>0</v>
      </c>
      <c r="W16" s="173">
        <f t="shared" ref="W16:W52" si="5">U16+V16</f>
        <v>0</v>
      </c>
      <c r="X16" s="166">
        <f t="shared" si="4"/>
        <v>0</v>
      </c>
      <c r="Y16" s="169">
        <f t="shared" si="1"/>
        <v>33250009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26740000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0.22134193006207831</v>
      </c>
      <c r="Q17" s="24">
        <v>0</v>
      </c>
      <c r="R17" s="24">
        <v>0</v>
      </c>
      <c r="S17" s="24">
        <f t="shared" si="2"/>
        <v>0</v>
      </c>
      <c r="T17" s="270">
        <f t="shared" si="3"/>
        <v>0</v>
      </c>
      <c r="U17" s="26">
        <v>0</v>
      </c>
      <c r="V17" s="26">
        <v>0</v>
      </c>
      <c r="W17" s="27">
        <f t="shared" si="5"/>
        <v>0</v>
      </c>
      <c r="X17" s="24">
        <f t="shared" si="4"/>
        <v>0</v>
      </c>
      <c r="Y17" s="28">
        <f t="shared" si="1"/>
        <v>26740000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5.3886984172830978E-2</v>
      </c>
      <c r="Q18" s="24">
        <v>0</v>
      </c>
      <c r="R18" s="24">
        <v>0</v>
      </c>
      <c r="S18" s="24">
        <f>Q18+R18</f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48.123609559370337</v>
      </c>
      <c r="Q19" s="166">
        <v>24</v>
      </c>
      <c r="R19" s="166">
        <f>R20</f>
        <v>1</v>
      </c>
      <c r="S19" s="166">
        <f t="shared" si="2"/>
        <v>25</v>
      </c>
      <c r="T19" s="269">
        <f t="shared" si="3"/>
        <v>12.030902389842584</v>
      </c>
      <c r="U19" s="168">
        <v>765979699</v>
      </c>
      <c r="V19" s="168">
        <f>SUM(V20)</f>
        <v>194620800</v>
      </c>
      <c r="W19" s="168">
        <f t="shared" si="5"/>
        <v>960600499</v>
      </c>
      <c r="X19" s="166">
        <f t="shared" si="4"/>
        <v>16.522923914058929</v>
      </c>
      <c r="Y19" s="169">
        <f t="shared" si="1"/>
        <v>4853143509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48.123609559370337</v>
      </c>
      <c r="Q20" s="24">
        <v>16</v>
      </c>
      <c r="R20" s="24">
        <v>1</v>
      </c>
      <c r="S20" s="24">
        <f t="shared" si="2"/>
        <v>17</v>
      </c>
      <c r="T20" s="270">
        <f t="shared" si="3"/>
        <v>8.181013625092957</v>
      </c>
      <c r="U20" s="32">
        <v>765979699</v>
      </c>
      <c r="V20" s="26">
        <f>15281155+179339645</f>
        <v>194620800</v>
      </c>
      <c r="W20" s="26">
        <f t="shared" si="5"/>
        <v>960600499</v>
      </c>
      <c r="X20" s="24">
        <f t="shared" si="4"/>
        <v>16.522923914058929</v>
      </c>
      <c r="Y20" s="28">
        <f t="shared" si="1"/>
        <v>4853143509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323844262.99000001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2.6806400228024634</v>
      </c>
      <c r="Q21" s="166">
        <v>0.33333333333333331</v>
      </c>
      <c r="R21" s="166">
        <f>SUM(R22:R27)/6</f>
        <v>0</v>
      </c>
      <c r="S21" s="166">
        <f t="shared" si="2"/>
        <v>0.33333333333333331</v>
      </c>
      <c r="T21" s="269">
        <f t="shared" si="3"/>
        <v>8.9354667426748777E-3</v>
      </c>
      <c r="U21" s="168">
        <v>4830000</v>
      </c>
      <c r="V21" s="168">
        <f>SUM(V22:V27)</f>
        <v>0</v>
      </c>
      <c r="W21" s="173">
        <f t="shared" si="5"/>
        <v>4830000</v>
      </c>
      <c r="X21" s="166">
        <f>W21/H21*100</f>
        <v>1.4914576393620242</v>
      </c>
      <c r="Y21" s="169">
        <f t="shared" si="1"/>
        <v>319014262.99000001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3.2020495705147367E-2</v>
      </c>
      <c r="Q22" s="24">
        <v>0</v>
      </c>
      <c r="R22" s="24">
        <v>0</v>
      </c>
      <c r="S22" s="24">
        <f t="shared" si="2"/>
        <v>0</v>
      </c>
      <c r="T22" s="270">
        <f t="shared" si="3"/>
        <v>0</v>
      </c>
      <c r="U22" s="32">
        <v>0</v>
      </c>
      <c r="V22" s="32">
        <v>0</v>
      </c>
      <c r="W22" s="26">
        <f t="shared" si="5"/>
        <v>0</v>
      </c>
      <c r="X22" s="24">
        <f t="shared" si="4"/>
        <v>0</v>
      </c>
      <c r="Y22" s="28">
        <f t="shared" si="1"/>
        <v>3868350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94919208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0.78569935297995008</v>
      </c>
      <c r="Q23" s="24">
        <v>0</v>
      </c>
      <c r="R23" s="24">
        <v>0</v>
      </c>
      <c r="S23" s="24">
        <f t="shared" si="2"/>
        <v>0</v>
      </c>
      <c r="T23" s="270">
        <f t="shared" si="3"/>
        <v>0</v>
      </c>
      <c r="U23" s="32">
        <v>0</v>
      </c>
      <c r="V23" s="32">
        <v>0</v>
      </c>
      <c r="W23" s="26">
        <f t="shared" si="5"/>
        <v>0</v>
      </c>
      <c r="X23" s="24">
        <f t="shared" si="4"/>
        <v>0</v>
      </c>
      <c r="Y23" s="28">
        <f t="shared" si="1"/>
        <v>94919208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8.1225369631965486E-2</v>
      </c>
      <c r="Q24" s="24">
        <v>0</v>
      </c>
      <c r="R24" s="24">
        <v>0</v>
      </c>
      <c r="S24" s="24">
        <f t="shared" si="2"/>
        <v>0</v>
      </c>
      <c r="T24" s="270">
        <f t="shared" si="3"/>
        <v>0</v>
      </c>
      <c r="U24" s="32">
        <v>0</v>
      </c>
      <c r="V24" s="32">
        <v>0</v>
      </c>
      <c r="W24" s="26">
        <f t="shared" si="5"/>
        <v>0</v>
      </c>
      <c r="X24" s="24">
        <f t="shared" si="4"/>
        <v>0</v>
      </c>
      <c r="Y24" s="28">
        <f t="shared" si="1"/>
        <v>9812720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9604984.9900000002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7.9505830811663875E-2</v>
      </c>
      <c r="Q25" s="24">
        <v>0</v>
      </c>
      <c r="R25" s="24">
        <v>0</v>
      </c>
      <c r="S25" s="24">
        <f t="shared" si="2"/>
        <v>0</v>
      </c>
      <c r="T25" s="270">
        <f t="shared" si="3"/>
        <v>0</v>
      </c>
      <c r="U25" s="32">
        <v>0</v>
      </c>
      <c r="V25" s="32">
        <v>0</v>
      </c>
      <c r="W25" s="26">
        <f t="shared" si="5"/>
        <v>0</v>
      </c>
      <c r="X25" s="24">
        <f t="shared" si="4"/>
        <v>0</v>
      </c>
      <c r="Y25" s="28">
        <f t="shared" si="1"/>
        <v>9604984.9900000002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34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6.151881915562326E-2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198207000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1.6406701545181135</v>
      </c>
      <c r="Q27" s="24">
        <v>2</v>
      </c>
      <c r="R27" s="24">
        <v>0</v>
      </c>
      <c r="S27" s="24">
        <f t="shared" si="2"/>
        <v>2</v>
      </c>
      <c r="T27" s="270">
        <f t="shared" si="3"/>
        <v>3.2813403090362271E-2</v>
      </c>
      <c r="U27" s="32">
        <v>4830000</v>
      </c>
      <c r="V27" s="26">
        <v>0</v>
      </c>
      <c r="W27" s="26">
        <f t="shared" si="5"/>
        <v>4830000</v>
      </c>
      <c r="X27" s="24">
        <f t="shared" si="4"/>
        <v>2.436846327324464</v>
      </c>
      <c r="Y27" s="28">
        <f t="shared" si="1"/>
        <v>193377000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17.236195741573091</v>
      </c>
      <c r="Q28" s="166">
        <v>13</v>
      </c>
      <c r="R28" s="166">
        <f>SUM(R29:R30)/2</f>
        <v>1.5</v>
      </c>
      <c r="S28" s="166">
        <f t="shared" si="2"/>
        <v>14.5</v>
      </c>
      <c r="T28" s="269">
        <f t="shared" si="3"/>
        <v>2.4992483825280982</v>
      </c>
      <c r="U28" s="168">
        <v>488010470</v>
      </c>
      <c r="V28" s="168">
        <f>SUM(V29:V30)</f>
        <v>21990586</v>
      </c>
      <c r="W28" s="173">
        <f t="shared" si="5"/>
        <v>510001056</v>
      </c>
      <c r="X28" s="166">
        <f t="shared" si="4"/>
        <v>24.492434062662085</v>
      </c>
      <c r="Y28" s="169">
        <f t="shared" si="1"/>
        <v>1572278944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0.13244094543729443</v>
      </c>
      <c r="Q29" s="24">
        <v>3</v>
      </c>
      <c r="R29" s="24">
        <v>2</v>
      </c>
      <c r="S29" s="24">
        <f t="shared" si="2"/>
        <v>5</v>
      </c>
      <c r="T29" s="270">
        <f t="shared" si="3"/>
        <v>6.6220472718647215E-3</v>
      </c>
      <c r="U29" s="32">
        <v>510470</v>
      </c>
      <c r="V29" s="32">
        <v>420586</v>
      </c>
      <c r="W29" s="26">
        <f t="shared" si="5"/>
        <v>931056</v>
      </c>
      <c r="X29" s="24">
        <f t="shared" si="4"/>
        <v>5.8190999999999997</v>
      </c>
      <c r="Y29" s="28">
        <f t="shared" si="1"/>
        <v>15068944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17.103754796135796</v>
      </c>
      <c r="Q30" s="24">
        <v>23</v>
      </c>
      <c r="R30" s="24">
        <v>1</v>
      </c>
      <c r="S30" s="24">
        <f t="shared" si="2"/>
        <v>24</v>
      </c>
      <c r="T30" s="270">
        <f t="shared" si="3"/>
        <v>4.1049011510725908</v>
      </c>
      <c r="U30" s="32">
        <v>487500000</v>
      </c>
      <c r="V30" s="32">
        <f>21570000</f>
        <v>21570000</v>
      </c>
      <c r="W30" s="26">
        <f t="shared" si="5"/>
        <v>509070000</v>
      </c>
      <c r="X30" s="24">
        <f t="shared" si="4"/>
        <v>24.637028863464778</v>
      </c>
      <c r="Y30" s="28">
        <f t="shared" si="1"/>
        <v>1557210000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3.268521465813178</v>
      </c>
      <c r="Q31" s="166">
        <v>4</v>
      </c>
      <c r="R31" s="166">
        <f>SUM(R32:R34)/3</f>
        <v>4</v>
      </c>
      <c r="S31" s="166">
        <f t="shared" si="2"/>
        <v>8</v>
      </c>
      <c r="T31" s="269">
        <f t="shared" si="3"/>
        <v>0.26148171726505426</v>
      </c>
      <c r="U31" s="168">
        <v>20397576</v>
      </c>
      <c r="V31" s="168">
        <f>SUM(V32:V34)</f>
        <v>28920792</v>
      </c>
      <c r="W31" s="173">
        <f t="shared" si="5"/>
        <v>49318368</v>
      </c>
      <c r="X31" s="166">
        <f t="shared" si="4"/>
        <v>12.489919665632671</v>
      </c>
      <c r="Y31" s="169">
        <f t="shared" si="1"/>
        <v>345547006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0.60516075647481138</v>
      </c>
      <c r="Q32" s="24">
        <v>7</v>
      </c>
      <c r="R32" s="24">
        <v>4</v>
      </c>
      <c r="S32" s="24">
        <f t="shared" si="2"/>
        <v>11</v>
      </c>
      <c r="T32" s="270">
        <f t="shared" si="3"/>
        <v>6.6567683212229251E-2</v>
      </c>
      <c r="U32" s="32">
        <v>5090064</v>
      </c>
      <c r="V32" s="32">
        <f>42040+3102318</f>
        <v>3144358</v>
      </c>
      <c r="W32" s="26">
        <f t="shared" si="5"/>
        <v>8234422</v>
      </c>
      <c r="X32" s="24">
        <f t="shared" si="4"/>
        <v>11.263274088137374</v>
      </c>
      <c r="Y32" s="28">
        <f t="shared" si="1"/>
        <v>64874178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2.5423587049136098</v>
      </c>
      <c r="Q33" s="24">
        <v>5</v>
      </c>
      <c r="R33" s="24">
        <v>8</v>
      </c>
      <c r="S33" s="24">
        <f>Q33+R33</f>
        <v>13</v>
      </c>
      <c r="T33" s="270">
        <f t="shared" si="3"/>
        <v>0.33050663163876925</v>
      </c>
      <c r="U33" s="45">
        <v>15307512</v>
      </c>
      <c r="V33" s="45">
        <f>25776434</f>
        <v>25776434</v>
      </c>
      <c r="W33" s="26">
        <f>U33+V33</f>
        <v>41083946</v>
      </c>
      <c r="X33" s="24">
        <f>W33/H33*100</f>
        <v>13.376349686657521</v>
      </c>
      <c r="Y33" s="28">
        <f>H33-W33</f>
        <v>266054750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0.12100200442475713</v>
      </c>
      <c r="Q34" s="226">
        <v>0</v>
      </c>
      <c r="R34" s="226">
        <v>0</v>
      </c>
      <c r="S34" s="226">
        <f t="shared" si="2"/>
        <v>0</v>
      </c>
      <c r="T34" s="270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2758134014.0100002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22.830617278640268</v>
      </c>
      <c r="Q35" s="239">
        <v>3</v>
      </c>
      <c r="R35" s="239">
        <f>(R36+R40+R43)/3</f>
        <v>0.5</v>
      </c>
      <c r="S35" s="239">
        <f t="shared" si="2"/>
        <v>3.5</v>
      </c>
      <c r="T35" s="268">
        <f t="shared" si="3"/>
        <v>0.79907160475240946</v>
      </c>
      <c r="U35" s="240">
        <v>32396000</v>
      </c>
      <c r="V35" s="241">
        <f>V36+V40+V43</f>
        <v>89050000</v>
      </c>
      <c r="W35" s="241">
        <f t="shared" si="5"/>
        <v>121446000</v>
      </c>
      <c r="X35" s="239">
        <f>W35/H35*100</f>
        <v>4.4031943111941789</v>
      </c>
      <c r="Y35" s="242">
        <f>H35-W35</f>
        <v>2636688014.0100002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2616635000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21.659350829019679</v>
      </c>
      <c r="Q36" s="166">
        <v>0.5</v>
      </c>
      <c r="R36" s="166">
        <f>SUM(R37:R39)/3</f>
        <v>1</v>
      </c>
      <c r="S36" s="166">
        <f t="shared" si="2"/>
        <v>1.5</v>
      </c>
      <c r="T36" s="269">
        <f t="shared" si="3"/>
        <v>0.32489026243529523</v>
      </c>
      <c r="U36" s="173">
        <v>26819000</v>
      </c>
      <c r="V36" s="173">
        <f>SUM(V37:V39)</f>
        <v>87315000</v>
      </c>
      <c r="W36" s="173">
        <f t="shared" si="5"/>
        <v>114134000</v>
      </c>
      <c r="X36" s="166">
        <f>W36/H36*100</f>
        <v>4.361861704058839</v>
      </c>
      <c r="Y36" s="169">
        <f>H36-W36</f>
        <v>2502501000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82680390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0.68439181379526404</v>
      </c>
      <c r="Q37" s="24">
        <v>0</v>
      </c>
      <c r="R37" s="24">
        <v>0</v>
      </c>
      <c r="S37" s="24">
        <f>Q37+R37</f>
        <v>0</v>
      </c>
      <c r="T37" s="270">
        <f t="shared" si="3"/>
        <v>0</v>
      </c>
      <c r="U37" s="32">
        <v>0</v>
      </c>
      <c r="V37" s="26">
        <v>0</v>
      </c>
      <c r="W37" s="26">
        <f>U37+V37</f>
        <v>0</v>
      </c>
      <c r="X37" s="24">
        <f>W37/H37*100</f>
        <v>0</v>
      </c>
      <c r="Y37" s="28">
        <f>H37-W37</f>
        <v>82680390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4999610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4.1384567201109473E-2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4999610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2528955000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20.933574448023307</v>
      </c>
      <c r="Q39" s="24">
        <v>1</v>
      </c>
      <c r="R39" s="24">
        <v>3</v>
      </c>
      <c r="S39" s="24">
        <f t="shared" si="2"/>
        <v>4</v>
      </c>
      <c r="T39" s="270">
        <f t="shared" si="3"/>
        <v>0.83734297792093226</v>
      </c>
      <c r="U39" s="32">
        <v>26819000</v>
      </c>
      <c r="V39" s="26">
        <f>33110000+19755000+34450000</f>
        <v>87315000</v>
      </c>
      <c r="W39" s="26">
        <f t="shared" si="5"/>
        <v>114134000</v>
      </c>
      <c r="X39" s="24">
        <f>W39/H39*100</f>
        <v>4.5130893985855822</v>
      </c>
      <c r="Y39" s="28">
        <f t="shared" si="1"/>
        <v>2414821000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1.0907563107593361</v>
      </c>
      <c r="Q40" s="166">
        <v>2.5</v>
      </c>
      <c r="R40" s="166">
        <f>SUM(R41:R42)/2</f>
        <v>0.5</v>
      </c>
      <c r="S40" s="166">
        <f>Q40+R40</f>
        <v>3</v>
      </c>
      <c r="T40" s="269">
        <f t="shared" si="3"/>
        <v>3.272268932278008E-2</v>
      </c>
      <c r="U40" s="168">
        <v>5577000</v>
      </c>
      <c r="V40" s="173">
        <f>SUM(V42)</f>
        <v>1735000</v>
      </c>
      <c r="W40" s="173">
        <f t="shared" si="5"/>
        <v>7312000</v>
      </c>
      <c r="X40" s="166">
        <f t="shared" si="4"/>
        <v>5.5489490611068186</v>
      </c>
      <c r="Y40" s="169">
        <f t="shared" si="1"/>
        <v>124460700.01000001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0.10730518542450315</v>
      </c>
      <c r="Q41" s="24">
        <v>0</v>
      </c>
      <c r="R41" s="24">
        <v>0</v>
      </c>
      <c r="S41" s="24">
        <f>Q41+R41</f>
        <v>0</v>
      </c>
      <c r="T41" s="270">
        <f t="shared" si="3"/>
        <v>0</v>
      </c>
      <c r="U41" s="32">
        <v>0</v>
      </c>
      <c r="V41" s="26"/>
      <c r="W41" s="26">
        <f t="shared" si="5"/>
        <v>0</v>
      </c>
      <c r="X41" s="24">
        <f t="shared" si="4"/>
        <v>0</v>
      </c>
      <c r="Y41" s="28">
        <f t="shared" si="1"/>
        <v>12963385.01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0.98345112533483292</v>
      </c>
      <c r="Q42" s="24">
        <v>5</v>
      </c>
      <c r="R42" s="24">
        <v>1</v>
      </c>
      <c r="S42" s="24">
        <f>Q42+R42</f>
        <v>6</v>
      </c>
      <c r="T42" s="270">
        <f t="shared" si="3"/>
        <v>5.9007067520089974E-2</v>
      </c>
      <c r="U42" s="32">
        <v>5577000</v>
      </c>
      <c r="V42" s="26">
        <f>1735000</f>
        <v>1735000</v>
      </c>
      <c r="W42" s="26">
        <f t="shared" si="5"/>
        <v>7312000</v>
      </c>
      <c r="X42" s="24">
        <f t="shared" si="4"/>
        <v>6.1543995940048974</v>
      </c>
      <c r="Y42" s="28">
        <f t="shared" si="1"/>
        <v>111497315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9726314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8.0510138861249567E-2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9726314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9726314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8.0510138861249567E-2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/>
      <c r="W44" s="26">
        <f t="shared" si="5"/>
        <v>0</v>
      </c>
      <c r="X44" s="24">
        <f t="shared" si="4"/>
        <v>0</v>
      </c>
      <c r="Y44" s="28">
        <f t="shared" si="1"/>
        <v>9726314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674738405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5.5851870175657545</v>
      </c>
      <c r="Q45" s="187">
        <v>1</v>
      </c>
      <c r="R45" s="187">
        <f>(R46+R50)/2</f>
        <v>3.5</v>
      </c>
      <c r="S45" s="187">
        <f t="shared" si="2"/>
        <v>4.5</v>
      </c>
      <c r="T45" s="268">
        <f t="shared" si="3"/>
        <v>0.25133341579045898</v>
      </c>
      <c r="U45" s="188">
        <v>1755000</v>
      </c>
      <c r="V45" s="189">
        <f>V46+V50</f>
        <v>97541600</v>
      </c>
      <c r="W45" s="189">
        <f t="shared" si="5"/>
        <v>99296600</v>
      </c>
      <c r="X45" s="187">
        <f t="shared" si="4"/>
        <v>14.716310686361481</v>
      </c>
      <c r="Y45" s="190">
        <f t="shared" si="1"/>
        <v>575441805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614738405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5.0885334721759001</v>
      </c>
      <c r="Q46" s="166">
        <v>1</v>
      </c>
      <c r="R46" s="166">
        <f>SUM(R47:R49)/3</f>
        <v>7</v>
      </c>
      <c r="S46" s="166">
        <f t="shared" si="2"/>
        <v>8</v>
      </c>
      <c r="T46" s="269">
        <f t="shared" si="3"/>
        <v>0.40708267777407203</v>
      </c>
      <c r="U46" s="168">
        <v>1755000</v>
      </c>
      <c r="V46" s="173">
        <f>SUM(V47:V49)</f>
        <v>97541600</v>
      </c>
      <c r="W46" s="173">
        <f t="shared" si="5"/>
        <v>99296600</v>
      </c>
      <c r="X46" s="166">
        <f t="shared" si="4"/>
        <v>16.152659276265648</v>
      </c>
      <c r="Y46" s="169">
        <f t="shared" si="1"/>
        <v>515441805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449219600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3.7184417833102015</v>
      </c>
      <c r="Q47" s="24">
        <v>1</v>
      </c>
      <c r="R47" s="24">
        <v>21</v>
      </c>
      <c r="S47" s="24">
        <f t="shared" si="2"/>
        <v>22</v>
      </c>
      <c r="T47" s="270">
        <f t="shared" si="3"/>
        <v>0.81805719232824425</v>
      </c>
      <c r="U47" s="26">
        <v>1755000</v>
      </c>
      <c r="V47" s="26">
        <f>53425000+2021600+42095000</f>
        <v>97541600</v>
      </c>
      <c r="W47" s="26">
        <f t="shared" si="5"/>
        <v>99296600</v>
      </c>
      <c r="X47" s="24">
        <f t="shared" si="4"/>
        <v>22.104244783620306</v>
      </c>
      <c r="Y47" s="28">
        <f t="shared" si="1"/>
        <v>349923000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46170000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0.38217490317749275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f t="shared" si="4"/>
        <v>0</v>
      </c>
      <c r="Y48" s="28">
        <f t="shared" si="1"/>
        <v>46170000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0.98791678568820573</v>
      </c>
      <c r="Q49" s="24">
        <v>0</v>
      </c>
      <c r="R49" s="24">
        <v>0</v>
      </c>
      <c r="S49" s="24">
        <f t="shared" si="2"/>
        <v>0</v>
      </c>
      <c r="T49" s="270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60000000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0.49665354538985412</v>
      </c>
      <c r="Q50" s="166">
        <v>0</v>
      </c>
      <c r="R50" s="166">
        <f>R51</f>
        <v>0</v>
      </c>
      <c r="S50" s="166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60000000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60000000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0.49665354538985412</v>
      </c>
      <c r="Q51" s="24">
        <v>0</v>
      </c>
      <c r="R51" s="24">
        <v>0</v>
      </c>
      <c r="S51" s="24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60000000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12080856073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f>Q14</f>
        <v>11.381111111111112</v>
      </c>
      <c r="R52" s="120">
        <f>R14</f>
        <v>1.7666666666666666</v>
      </c>
      <c r="S52" s="120">
        <f>S14</f>
        <v>13.14777777777778</v>
      </c>
      <c r="T52" s="120">
        <f>T14</f>
        <v>13.147777777777781</v>
      </c>
      <c r="U52" s="121">
        <f>U14</f>
        <v>1313368745</v>
      </c>
      <c r="V52" s="121">
        <f>V15+V35+V45</f>
        <v>432123778</v>
      </c>
      <c r="W52" s="121">
        <f t="shared" si="5"/>
        <v>1745492523</v>
      </c>
      <c r="X52" s="122">
        <f t="shared" si="4"/>
        <v>14.448417499990523</v>
      </c>
      <c r="Y52" s="123">
        <f t="shared" si="1"/>
        <v>10335363550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T55" s="368" t="s">
        <v>130</v>
      </c>
      <c r="U55" s="368"/>
      <c r="V55" s="368"/>
      <c r="W55" s="368"/>
      <c r="X55" s="368"/>
      <c r="Y55" s="368"/>
    </row>
    <row r="56" spans="1:26" s="72" customFormat="1" ht="12.95" customHeight="1" x14ac:dyDescent="0.45">
      <c r="H56" s="73"/>
      <c r="I56" s="73"/>
      <c r="U56" s="73"/>
      <c r="V56" s="73"/>
      <c r="W56" s="73"/>
      <c r="Y56" s="84"/>
    </row>
    <row r="57" spans="1:26" s="72" customFormat="1" ht="12.95" customHeight="1" x14ac:dyDescent="0.45">
      <c r="I57" s="73"/>
      <c r="O57" s="371"/>
      <c r="P57" s="371"/>
      <c r="T57" s="368" t="s">
        <v>88</v>
      </c>
      <c r="U57" s="368"/>
      <c r="V57" s="368"/>
      <c r="W57" s="368"/>
      <c r="X57" s="368"/>
      <c r="Y57" s="368"/>
    </row>
    <row r="58" spans="1:26" s="72" customFormat="1" ht="12.95" customHeight="1" x14ac:dyDescent="0.45">
      <c r="I58" s="73"/>
      <c r="T58" s="368" t="s">
        <v>27</v>
      </c>
      <c r="U58" s="368"/>
      <c r="V58" s="368"/>
      <c r="W58" s="368"/>
      <c r="X58" s="368"/>
      <c r="Y58" s="368"/>
    </row>
    <row r="59" spans="1:26" s="72" customFormat="1" ht="12.95" customHeight="1" x14ac:dyDescent="0.45">
      <c r="I59" s="73"/>
      <c r="U59" s="73"/>
      <c r="V59" s="85"/>
      <c r="W59" s="73"/>
      <c r="Y59" s="86"/>
    </row>
    <row r="60" spans="1:26" s="72" customFormat="1" ht="12.95" customHeight="1" x14ac:dyDescent="0.45">
      <c r="I60" s="73"/>
      <c r="U60" s="73"/>
      <c r="V60" s="85"/>
      <c r="W60" s="73"/>
    </row>
    <row r="61" spans="1:26" s="72" customFormat="1" ht="12.95" customHeight="1" x14ac:dyDescent="0.45">
      <c r="I61" s="73"/>
      <c r="U61" s="73"/>
      <c r="V61" s="73"/>
      <c r="W61" s="73"/>
    </row>
    <row r="62" spans="1:26" s="72" customFormat="1" ht="12.95" customHeight="1" x14ac:dyDescent="0.45">
      <c r="I62" s="73"/>
      <c r="T62" s="368" t="s">
        <v>89</v>
      </c>
      <c r="U62" s="368"/>
      <c r="V62" s="368"/>
      <c r="W62" s="368"/>
      <c r="X62" s="368"/>
      <c r="Y62" s="368"/>
    </row>
    <row r="63" spans="1:26" s="72" customFormat="1" ht="12.95" customHeight="1" x14ac:dyDescent="0.45">
      <c r="I63" s="73"/>
      <c r="T63" s="368" t="s">
        <v>63</v>
      </c>
      <c r="U63" s="368"/>
      <c r="V63" s="368"/>
      <c r="W63" s="368"/>
      <c r="X63" s="368"/>
      <c r="Y63" s="368"/>
    </row>
    <row r="64" spans="1:26" s="72" customFormat="1" ht="12.95" customHeight="1" x14ac:dyDescent="0.45">
      <c r="I64" s="73"/>
      <c r="T64" s="368" t="s">
        <v>90</v>
      </c>
      <c r="U64" s="368"/>
      <c r="V64" s="368"/>
      <c r="W64" s="368"/>
      <c r="X64" s="368"/>
      <c r="Y64" s="368"/>
    </row>
    <row r="65" s="72" customFormat="1" ht="15" x14ac:dyDescent="0.45"/>
    <row r="66" s="72" customFormat="1" ht="15" x14ac:dyDescent="0.45"/>
  </sheetData>
  <mergeCells count="37"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Z8:Z11"/>
    <mergeCell ref="A9:A11"/>
    <mergeCell ref="B9:B11"/>
    <mergeCell ref="C9:C11"/>
    <mergeCell ref="D9:D11"/>
    <mergeCell ref="E9:E11"/>
    <mergeCell ref="A12:E12"/>
    <mergeCell ref="F52:G52"/>
    <mergeCell ref="T55:Y55"/>
    <mergeCell ref="T57:Y57"/>
    <mergeCell ref="Y8:Y11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T58:Y58"/>
    <mergeCell ref="T62:Y62"/>
    <mergeCell ref="T63:Y63"/>
    <mergeCell ref="T64:Y64"/>
    <mergeCell ref="K10:K11"/>
    <mergeCell ref="W10:X10"/>
    <mergeCell ref="O57:P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6"/>
  <sheetViews>
    <sheetView topLeftCell="G36" workbookViewId="0">
      <selection activeCell="V40" sqref="V40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265625" style="1" customWidth="1"/>
    <col min="9" max="9" width="10.1328125" style="1" customWidth="1"/>
    <col min="10" max="10" width="7.59765625" style="1" customWidth="1"/>
    <col min="11" max="11" width="9.73046875" style="1" customWidth="1"/>
    <col min="12" max="12" width="8.59765625" style="1" customWidth="1"/>
    <col min="13" max="13" width="7.3984375" style="1" customWidth="1"/>
    <col min="14" max="14" width="9.1328125" style="1" customWidth="1"/>
    <col min="15" max="15" width="8.1328125" style="1" customWidth="1"/>
    <col min="16" max="16" width="8.2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2.73046875" style="1" customWidth="1"/>
    <col min="23" max="23" width="15" style="1" customWidth="1"/>
    <col min="24" max="24" width="6.73046875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131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11767402484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11767402484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13.14777777777778</v>
      </c>
      <c r="R14" s="133">
        <f>(R15+R35+R45)/3</f>
        <v>4.6296296296296289</v>
      </c>
      <c r="S14" s="133">
        <f>Q14+R14</f>
        <v>17.777407407407409</v>
      </c>
      <c r="T14" s="275">
        <f>(P14*S14)/100</f>
        <v>17.777407407407409</v>
      </c>
      <c r="U14" s="88">
        <v>1745492523</v>
      </c>
      <c r="V14" s="88">
        <f>V15+V35+V45</f>
        <v>421265750</v>
      </c>
      <c r="W14" s="88">
        <f t="shared" ref="W14" si="0">U14+V14</f>
        <v>2166758273</v>
      </c>
      <c r="X14" s="135">
        <f>W14/H14*100</f>
        <v>18.413224804251541</v>
      </c>
      <c r="Y14" s="136">
        <f t="shared" ref="Y14:Y52" si="1">H14-W14</f>
        <v>9600644211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8503099195.9899998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72.259780419268949</v>
      </c>
      <c r="Q15" s="187">
        <v>39.433333333333337</v>
      </c>
      <c r="R15" s="187">
        <f>(R16+R19+R21+R28+R31)/5</f>
        <v>10.833333333333332</v>
      </c>
      <c r="S15" s="187">
        <f t="shared" ref="S15:S51" si="2">Q15+R15</f>
        <v>50.266666666666666</v>
      </c>
      <c r="T15" s="268">
        <f t="shared" ref="T15:T51" si="3">(P15*S15)/100</f>
        <v>36.322582957419193</v>
      </c>
      <c r="U15" s="188">
        <v>1524749923</v>
      </c>
      <c r="V15" s="188">
        <f>V16+V19+V21+V28+V31</f>
        <v>396359550</v>
      </c>
      <c r="W15" s="189">
        <f>U15+V15</f>
        <v>1921109473</v>
      </c>
      <c r="X15" s="187">
        <f t="shared" ref="X15:X52" si="4">W15/H15*100</f>
        <v>22.593050236388883</v>
      </c>
      <c r="Y15" s="190">
        <f t="shared" si="1"/>
        <v>6581989722.9899998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19880009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0.16894135325982618</v>
      </c>
      <c r="Q16" s="166">
        <v>0</v>
      </c>
      <c r="R16" s="166">
        <f>SUM(R17:R18)/2</f>
        <v>27</v>
      </c>
      <c r="S16" s="166">
        <f t="shared" si="2"/>
        <v>27</v>
      </c>
      <c r="T16" s="269">
        <f t="shared" si="3"/>
        <v>4.5614165380153067E-2</v>
      </c>
      <c r="U16" s="168">
        <v>0</v>
      </c>
      <c r="V16" s="168">
        <f>SUM(V17:V18)</f>
        <v>7174000</v>
      </c>
      <c r="W16" s="173">
        <f t="shared" ref="W16:W52" si="5">U16+V16</f>
        <v>7174000</v>
      </c>
      <c r="X16" s="166">
        <f t="shared" si="4"/>
        <v>36.086502777740193</v>
      </c>
      <c r="Y16" s="169">
        <f t="shared" si="1"/>
        <v>12706009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13370000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0.1136189572692787</v>
      </c>
      <c r="Q17" s="24">
        <v>0</v>
      </c>
      <c r="R17" s="24">
        <v>54</v>
      </c>
      <c r="S17" s="24">
        <f t="shared" si="2"/>
        <v>54</v>
      </c>
      <c r="T17" s="270">
        <f t="shared" si="3"/>
        <v>6.1354236925410498E-2</v>
      </c>
      <c r="U17" s="26">
        <v>0</v>
      </c>
      <c r="V17" s="26">
        <f>7174000</f>
        <v>7174000</v>
      </c>
      <c r="W17" s="27">
        <f t="shared" si="5"/>
        <v>7174000</v>
      </c>
      <c r="X17" s="24">
        <f t="shared" si="4"/>
        <v>53.657442034405392</v>
      </c>
      <c r="Y17" s="28">
        <f t="shared" si="1"/>
        <v>6196000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5.5322395990547467E-2</v>
      </c>
      <c r="Q18" s="24">
        <v>0</v>
      </c>
      <c r="R18" s="24">
        <v>0</v>
      </c>
      <c r="S18" s="24">
        <f>Q18+R18</f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49.405499777073828</v>
      </c>
      <c r="Q19" s="166">
        <v>25</v>
      </c>
      <c r="R19" s="166">
        <f>R20</f>
        <v>3</v>
      </c>
      <c r="S19" s="166">
        <f t="shared" si="2"/>
        <v>28</v>
      </c>
      <c r="T19" s="269">
        <f t="shared" si="3"/>
        <v>13.833539937580673</v>
      </c>
      <c r="U19" s="168">
        <v>960600499</v>
      </c>
      <c r="V19" s="168">
        <f>SUM(V20)</f>
        <v>194620800</v>
      </c>
      <c r="W19" s="168">
        <f t="shared" si="5"/>
        <v>1155221299</v>
      </c>
      <c r="X19" s="166">
        <f t="shared" si="4"/>
        <v>19.870522290117318</v>
      </c>
      <c r="Y19" s="169">
        <f t="shared" si="1"/>
        <v>4658522709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49.405499777073828</v>
      </c>
      <c r="Q20" s="24">
        <v>17</v>
      </c>
      <c r="R20" s="24">
        <v>3</v>
      </c>
      <c r="S20" s="24">
        <f t="shared" si="2"/>
        <v>20</v>
      </c>
      <c r="T20" s="270">
        <f t="shared" si="3"/>
        <v>9.8810999554147649</v>
      </c>
      <c r="U20" s="32">
        <v>960600499</v>
      </c>
      <c r="V20" s="26">
        <f>179339645+15281155</f>
        <v>194620800</v>
      </c>
      <c r="W20" s="26">
        <f t="shared" si="5"/>
        <v>1155221299</v>
      </c>
      <c r="X20" s="24">
        <f t="shared" si="4"/>
        <v>19.870522290117318</v>
      </c>
      <c r="Y20" s="28">
        <f t="shared" si="1"/>
        <v>4658522709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192329804.99000001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1.634428713146411</v>
      </c>
      <c r="Q21" s="166">
        <v>0.33333333333333331</v>
      </c>
      <c r="R21" s="166">
        <f>SUM(R22:R27)/6</f>
        <v>14.166666666666666</v>
      </c>
      <c r="S21" s="166">
        <f t="shared" si="2"/>
        <v>14.5</v>
      </c>
      <c r="T21" s="269">
        <f t="shared" si="3"/>
        <v>0.23699216340622961</v>
      </c>
      <c r="U21" s="168">
        <v>4830000</v>
      </c>
      <c r="V21" s="168">
        <f>SUM(V22:V27)</f>
        <v>18358350</v>
      </c>
      <c r="W21" s="173">
        <f t="shared" si="5"/>
        <v>23188350</v>
      </c>
      <c r="X21" s="166">
        <f>W21/H21*100</f>
        <v>12.056555665517186</v>
      </c>
      <c r="Y21" s="169">
        <f t="shared" si="1"/>
        <v>169141454.99000001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3.2873440041332407E-2</v>
      </c>
      <c r="Q22" s="24">
        <v>0</v>
      </c>
      <c r="R22" s="24">
        <v>25</v>
      </c>
      <c r="S22" s="24">
        <f t="shared" si="2"/>
        <v>25</v>
      </c>
      <c r="T22" s="270">
        <f t="shared" si="3"/>
        <v>8.2183600103331016E-3</v>
      </c>
      <c r="U22" s="32">
        <v>0</v>
      </c>
      <c r="V22" s="32">
        <f>967089+15111</f>
        <v>982200</v>
      </c>
      <c r="W22" s="26">
        <f t="shared" si="5"/>
        <v>982200</v>
      </c>
      <c r="X22" s="24">
        <f t="shared" si="4"/>
        <v>25.39067044088565</v>
      </c>
      <c r="Y22" s="28">
        <f t="shared" si="1"/>
        <v>2886150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65355725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0.55539635946729471</v>
      </c>
      <c r="Q23" s="24">
        <v>0</v>
      </c>
      <c r="R23" s="24">
        <v>19</v>
      </c>
      <c r="S23" s="24">
        <f t="shared" si="2"/>
        <v>19</v>
      </c>
      <c r="T23" s="270">
        <f t="shared" si="3"/>
        <v>0.10552530829878598</v>
      </c>
      <c r="U23" s="32">
        <v>0</v>
      </c>
      <c r="V23" s="32">
        <f>12739350</f>
        <v>12739350</v>
      </c>
      <c r="W23" s="26">
        <f t="shared" si="5"/>
        <v>12739350</v>
      </c>
      <c r="X23" s="24">
        <f t="shared" si="4"/>
        <v>19.492324505619056</v>
      </c>
      <c r="Y23" s="28">
        <f t="shared" si="1"/>
        <v>52616375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8.338900631080004E-2</v>
      </c>
      <c r="Q24" s="24">
        <v>0</v>
      </c>
      <c r="R24" s="24">
        <v>16</v>
      </c>
      <c r="S24" s="24">
        <f t="shared" si="2"/>
        <v>16</v>
      </c>
      <c r="T24" s="270">
        <f t="shared" si="3"/>
        <v>1.3342241009728006E-2</v>
      </c>
      <c r="U24" s="32">
        <v>0</v>
      </c>
      <c r="V24" s="32">
        <f>1586800</f>
        <v>1586800</v>
      </c>
      <c r="W24" s="26">
        <f t="shared" si="5"/>
        <v>1586800</v>
      </c>
      <c r="X24" s="24">
        <f t="shared" si="4"/>
        <v>16.170847634498895</v>
      </c>
      <c r="Y24" s="28">
        <f t="shared" si="1"/>
        <v>8225920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5.7425672311184284E-2</v>
      </c>
      <c r="Q25" s="24">
        <v>0</v>
      </c>
      <c r="R25" s="24">
        <v>20</v>
      </c>
      <c r="S25" s="24">
        <f t="shared" si="2"/>
        <v>20</v>
      </c>
      <c r="T25" s="270">
        <f t="shared" si="3"/>
        <v>1.1485134462236857E-2</v>
      </c>
      <c r="U25" s="32">
        <v>0</v>
      </c>
      <c r="V25" s="32">
        <f>1330000</f>
        <v>1330000</v>
      </c>
      <c r="W25" s="26">
        <f t="shared" si="5"/>
        <v>1330000</v>
      </c>
      <c r="X25" s="24">
        <f t="shared" si="4"/>
        <v>19.681805901407184</v>
      </c>
      <c r="Y25" s="28">
        <f t="shared" si="1"/>
        <v>5427509.9900000002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6.31575235920179E-2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99103500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0.84218671142378165</v>
      </c>
      <c r="Q27" s="24">
        <v>2</v>
      </c>
      <c r="R27" s="24">
        <v>5</v>
      </c>
      <c r="S27" s="24">
        <f t="shared" si="2"/>
        <v>7</v>
      </c>
      <c r="T27" s="270">
        <f t="shared" si="3"/>
        <v>5.8953069799664713E-2</v>
      </c>
      <c r="U27" s="32">
        <v>4830000</v>
      </c>
      <c r="V27" s="26">
        <f>1720000</f>
        <v>1720000</v>
      </c>
      <c r="W27" s="26">
        <f t="shared" si="5"/>
        <v>6550000</v>
      </c>
      <c r="X27" s="24">
        <f t="shared" si="4"/>
        <v>6.609251943675047</v>
      </c>
      <c r="Y27" s="28">
        <f t="shared" si="1"/>
        <v>92553500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17.69532403460536</v>
      </c>
      <c r="Q28" s="166">
        <v>14.5</v>
      </c>
      <c r="R28" s="166">
        <f>SUM(R29:R30)/2</f>
        <v>4</v>
      </c>
      <c r="S28" s="166">
        <f t="shared" si="2"/>
        <v>18.5</v>
      </c>
      <c r="T28" s="269">
        <f t="shared" si="3"/>
        <v>3.2736349464019918</v>
      </c>
      <c r="U28" s="168">
        <v>510001056</v>
      </c>
      <c r="V28" s="168">
        <f>SUM(V29:V30)</f>
        <v>162500000</v>
      </c>
      <c r="W28" s="173">
        <f t="shared" si="5"/>
        <v>672501056</v>
      </c>
      <c r="X28" s="166">
        <f t="shared" si="4"/>
        <v>32.296379737595323</v>
      </c>
      <c r="Y28" s="169">
        <f t="shared" si="1"/>
        <v>1409778944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0.13596883442845617</v>
      </c>
      <c r="Q29" s="24">
        <v>5</v>
      </c>
      <c r="R29" s="24">
        <v>0</v>
      </c>
      <c r="S29" s="24">
        <f t="shared" si="2"/>
        <v>5</v>
      </c>
      <c r="T29" s="270">
        <f t="shared" si="3"/>
        <v>6.7984417214228092E-3</v>
      </c>
      <c r="U29" s="32">
        <v>931056</v>
      </c>
      <c r="V29" s="32">
        <v>0</v>
      </c>
      <c r="W29" s="26">
        <f t="shared" si="5"/>
        <v>931056</v>
      </c>
      <c r="X29" s="24">
        <f t="shared" si="4"/>
        <v>5.8190999999999997</v>
      </c>
      <c r="Y29" s="28">
        <f t="shared" si="1"/>
        <v>15068944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17.559355200176903</v>
      </c>
      <c r="Q30" s="24">
        <v>24</v>
      </c>
      <c r="R30" s="24">
        <v>8</v>
      </c>
      <c r="S30" s="24">
        <f t="shared" si="2"/>
        <v>32</v>
      </c>
      <c r="T30" s="270">
        <f t="shared" si="3"/>
        <v>5.6189936640566085</v>
      </c>
      <c r="U30" s="32">
        <v>509070000</v>
      </c>
      <c r="V30" s="32">
        <f>110000000+52500000</f>
        <v>162500000</v>
      </c>
      <c r="W30" s="26">
        <f t="shared" si="5"/>
        <v>671570000</v>
      </c>
      <c r="X30" s="24">
        <f t="shared" si="4"/>
        <v>32.501403488394601</v>
      </c>
      <c r="Y30" s="28">
        <f t="shared" si="1"/>
        <v>1394710000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3.3555865411835266</v>
      </c>
      <c r="Q31" s="166">
        <v>8</v>
      </c>
      <c r="R31" s="166">
        <f>SUM(R32:R34)/3</f>
        <v>6</v>
      </c>
      <c r="S31" s="166">
        <f t="shared" si="2"/>
        <v>14</v>
      </c>
      <c r="T31" s="269">
        <f t="shared" si="3"/>
        <v>0.46978211576569373</v>
      </c>
      <c r="U31" s="168">
        <v>49318368</v>
      </c>
      <c r="V31" s="168">
        <f>SUM(V32:V34)</f>
        <v>13706400</v>
      </c>
      <c r="W31" s="173">
        <f t="shared" si="5"/>
        <v>63024768</v>
      </c>
      <c r="X31" s="166">
        <f t="shared" si="4"/>
        <v>15.961077407612853</v>
      </c>
      <c r="Y31" s="169">
        <f t="shared" si="1"/>
        <v>331840606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0.62128069554351451</v>
      </c>
      <c r="Q32" s="24">
        <v>11</v>
      </c>
      <c r="R32" s="24">
        <v>17</v>
      </c>
      <c r="S32" s="24">
        <f t="shared" si="2"/>
        <v>28</v>
      </c>
      <c r="T32" s="270">
        <f t="shared" si="3"/>
        <v>0.17395859475218406</v>
      </c>
      <c r="U32" s="32">
        <v>8234422</v>
      </c>
      <c r="V32" s="32">
        <f>10084768+1821632</f>
        <v>11906400</v>
      </c>
      <c r="W32" s="26">
        <f t="shared" si="5"/>
        <v>20140822</v>
      </c>
      <c r="X32" s="24">
        <f t="shared" si="4"/>
        <v>27.549182996254885</v>
      </c>
      <c r="Y32" s="28">
        <f t="shared" si="1"/>
        <v>52967778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2.6100806564372458</v>
      </c>
      <c r="Q33" s="24">
        <v>13</v>
      </c>
      <c r="R33" s="24">
        <v>1</v>
      </c>
      <c r="S33" s="24">
        <f>Q33+R33</f>
        <v>14</v>
      </c>
      <c r="T33" s="270">
        <f t="shared" si="3"/>
        <v>0.36541129190121441</v>
      </c>
      <c r="U33" s="45">
        <v>41083946</v>
      </c>
      <c r="V33" s="45">
        <f>1800000</f>
        <v>1800000</v>
      </c>
      <c r="W33" s="26">
        <f>U33+V33</f>
        <v>42883946</v>
      </c>
      <c r="X33" s="24">
        <f>W33/H33*100</f>
        <v>13.962404138096622</v>
      </c>
      <c r="Y33" s="28">
        <f>H33-W33</f>
        <v>264254750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0.12422518920276611</v>
      </c>
      <c r="Q34" s="226">
        <v>0</v>
      </c>
      <c r="R34" s="226">
        <v>0</v>
      </c>
      <c r="S34" s="226">
        <f t="shared" si="2"/>
        <v>0</v>
      </c>
      <c r="T34" s="270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2642907480.0100002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22.459565597450506</v>
      </c>
      <c r="Q35" s="239">
        <v>3.5</v>
      </c>
      <c r="R35" s="239">
        <f>(R36+R40+R43)/3</f>
        <v>2.5555555555555558</v>
      </c>
      <c r="S35" s="239">
        <f t="shared" si="2"/>
        <v>6.0555555555555554</v>
      </c>
      <c r="T35" s="268">
        <f t="shared" si="3"/>
        <v>1.3600514722900585</v>
      </c>
      <c r="U35" s="240">
        <v>121446000</v>
      </c>
      <c r="V35" s="241">
        <f>V36+V40+V43</f>
        <v>15255000</v>
      </c>
      <c r="W35" s="241">
        <f t="shared" si="5"/>
        <v>136701000</v>
      </c>
      <c r="X35" s="239">
        <f>W35/H35*100</f>
        <v>5.1723717547419685</v>
      </c>
      <c r="Y35" s="242">
        <f>H35-W35</f>
        <v>2506206480.0100002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2506664780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21.301768027466409</v>
      </c>
      <c r="Q36" s="166">
        <v>1.5</v>
      </c>
      <c r="R36" s="166">
        <f>SUM(R37:R39)/3</f>
        <v>5.666666666666667</v>
      </c>
      <c r="S36" s="166">
        <f t="shared" si="2"/>
        <v>7.166666666666667</v>
      </c>
      <c r="T36" s="269">
        <f t="shared" si="3"/>
        <v>1.5266267086350929</v>
      </c>
      <c r="U36" s="173">
        <v>114134000</v>
      </c>
      <c r="V36" s="173">
        <f>SUM(V37:V39)</f>
        <v>11085000</v>
      </c>
      <c r="W36" s="173">
        <f t="shared" si="5"/>
        <v>125219000</v>
      </c>
      <c r="X36" s="166">
        <f>W36/H36*100</f>
        <v>4.9954425896549273</v>
      </c>
      <c r="Y36" s="169">
        <f>H36-W36</f>
        <v>2381445780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41460500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0.35233349123881297</v>
      </c>
      <c r="Q37" s="24">
        <v>0</v>
      </c>
      <c r="R37" s="24">
        <v>16</v>
      </c>
      <c r="S37" s="24">
        <f>Q37+R37</f>
        <v>16</v>
      </c>
      <c r="T37" s="270">
        <f t="shared" si="3"/>
        <v>5.6373358598210077E-2</v>
      </c>
      <c r="U37" s="32">
        <v>0</v>
      </c>
      <c r="V37" s="26">
        <v>6500000</v>
      </c>
      <c r="W37" s="26">
        <f>U37+V37</f>
        <v>6500000</v>
      </c>
      <c r="X37" s="24">
        <f>W37/H37*100</f>
        <v>15.677572629370124</v>
      </c>
      <c r="Y37" s="28">
        <f>H37-W37</f>
        <v>34960500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2.3066092994529379E-2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2462490000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20.926368443233066</v>
      </c>
      <c r="Q39" s="24">
        <v>4</v>
      </c>
      <c r="R39" s="24">
        <v>1</v>
      </c>
      <c r="S39" s="24">
        <f t="shared" si="2"/>
        <v>5</v>
      </c>
      <c r="T39" s="270">
        <f t="shared" si="3"/>
        <v>1.0463184221616533</v>
      </c>
      <c r="U39" s="32">
        <v>114134000</v>
      </c>
      <c r="V39" s="26">
        <f>4585000</f>
        <v>4585000</v>
      </c>
      <c r="W39" s="26">
        <f t="shared" si="5"/>
        <v>118719000</v>
      </c>
      <c r="X39" s="24">
        <f>W39/H39*100</f>
        <v>4.8210957201856655</v>
      </c>
      <c r="Y39" s="28">
        <f t="shared" si="1"/>
        <v>2343771000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1.119811276865645</v>
      </c>
      <c r="Q40" s="166">
        <v>3</v>
      </c>
      <c r="R40" s="166">
        <f>SUM(R41:R42)/2</f>
        <v>2</v>
      </c>
      <c r="S40" s="166">
        <f>Q40+R40</f>
        <v>5</v>
      </c>
      <c r="T40" s="269">
        <f t="shared" si="3"/>
        <v>5.599056384328225E-2</v>
      </c>
      <c r="U40" s="168">
        <v>7312000</v>
      </c>
      <c r="V40" s="173">
        <f>SUM(V42)</f>
        <v>4170000</v>
      </c>
      <c r="W40" s="173">
        <f t="shared" si="5"/>
        <v>11482000</v>
      </c>
      <c r="X40" s="166">
        <f t="shared" si="4"/>
        <v>8.7134892122030205</v>
      </c>
      <c r="Y40" s="169">
        <f t="shared" si="1"/>
        <v>120290700.01000001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0.11016352187856379</v>
      </c>
      <c r="Q41" s="24">
        <v>0</v>
      </c>
      <c r="R41" s="24">
        <v>0</v>
      </c>
      <c r="S41" s="24">
        <f>Q41+R41</f>
        <v>0</v>
      </c>
      <c r="T41" s="270">
        <f t="shared" si="3"/>
        <v>0</v>
      </c>
      <c r="U41" s="32">
        <v>0</v>
      </c>
      <c r="V41" s="26"/>
      <c r="W41" s="26">
        <f t="shared" si="5"/>
        <v>0</v>
      </c>
      <c r="X41" s="24">
        <f t="shared" si="4"/>
        <v>0</v>
      </c>
      <c r="Y41" s="28">
        <f t="shared" si="1"/>
        <v>12963385.01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1.009647754987081</v>
      </c>
      <c r="Q42" s="24">
        <v>6</v>
      </c>
      <c r="R42" s="24">
        <v>4</v>
      </c>
      <c r="S42" s="24">
        <f>Q42+R42</f>
        <v>10</v>
      </c>
      <c r="T42" s="270">
        <f t="shared" si="3"/>
        <v>0.10096477549870811</v>
      </c>
      <c r="U42" s="32">
        <v>7312000</v>
      </c>
      <c r="V42" s="26">
        <f>4170000</f>
        <v>4170000</v>
      </c>
      <c r="W42" s="26">
        <f t="shared" si="5"/>
        <v>11482000</v>
      </c>
      <c r="X42" s="24">
        <f t="shared" si="4"/>
        <v>9.6642254018550648</v>
      </c>
      <c r="Y42" s="28">
        <f t="shared" si="1"/>
        <v>107327315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3.7986293118449949E-2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3.7986293118449949E-2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/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621395808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5.2806539832805468</v>
      </c>
      <c r="Q45" s="187">
        <v>4.5</v>
      </c>
      <c r="R45" s="187">
        <f>(R46+R50)/2</f>
        <v>0.5</v>
      </c>
      <c r="S45" s="187">
        <f t="shared" si="2"/>
        <v>5</v>
      </c>
      <c r="T45" s="268">
        <f t="shared" si="3"/>
        <v>0.26403269916402733</v>
      </c>
      <c r="U45" s="188">
        <v>99296600</v>
      </c>
      <c r="V45" s="189">
        <f>V46+V50</f>
        <v>9651200</v>
      </c>
      <c r="W45" s="189">
        <f t="shared" si="5"/>
        <v>108947800</v>
      </c>
      <c r="X45" s="187">
        <f t="shared" si="4"/>
        <v>17.532754260228288</v>
      </c>
      <c r="Y45" s="190">
        <f t="shared" si="1"/>
        <v>512448008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563318405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4.787109183746689</v>
      </c>
      <c r="Q46" s="166">
        <v>8</v>
      </c>
      <c r="R46" s="166">
        <f>SUM(R47:R49)/3</f>
        <v>1</v>
      </c>
      <c r="S46" s="166">
        <f t="shared" si="2"/>
        <v>9</v>
      </c>
      <c r="T46" s="269">
        <f t="shared" si="3"/>
        <v>0.43083982653720199</v>
      </c>
      <c r="U46" s="168">
        <v>99296600</v>
      </c>
      <c r="V46" s="173">
        <f>SUM(V47:V49)</f>
        <v>9651200</v>
      </c>
      <c r="W46" s="173">
        <f t="shared" si="5"/>
        <v>108947800</v>
      </c>
      <c r="X46" s="166">
        <f t="shared" si="4"/>
        <v>19.340358673350995</v>
      </c>
      <c r="Y46" s="169">
        <f t="shared" si="1"/>
        <v>454370605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443969600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3.7728768146042451</v>
      </c>
      <c r="Q47" s="24">
        <v>22</v>
      </c>
      <c r="R47" s="24">
        <v>3</v>
      </c>
      <c r="S47" s="24">
        <f t="shared" si="2"/>
        <v>25</v>
      </c>
      <c r="T47" s="270">
        <f t="shared" si="3"/>
        <v>0.94321920365106127</v>
      </c>
      <c r="U47" s="26">
        <v>99296600</v>
      </c>
      <c r="V47" s="26">
        <f>3957050+5694150</f>
        <v>9651200</v>
      </c>
      <c r="W47" s="26">
        <f t="shared" si="5"/>
        <v>108947800</v>
      </c>
      <c r="X47" s="24">
        <f t="shared" si="4"/>
        <v>24.539472972924273</v>
      </c>
      <c r="Y47" s="28">
        <f t="shared" si="1"/>
        <v>335021800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1.014232369142444</v>
      </c>
      <c r="Q49" s="24">
        <v>0</v>
      </c>
      <c r="R49" s="24">
        <v>0</v>
      </c>
      <c r="S49" s="24">
        <f t="shared" si="2"/>
        <v>0</v>
      </c>
      <c r="T49" s="270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58077403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0.49354479953385777</v>
      </c>
      <c r="Q50" s="166">
        <v>0</v>
      </c>
      <c r="R50" s="166">
        <f>R51</f>
        <v>0</v>
      </c>
      <c r="S50" s="166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58077403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58077403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0.49354479953385777</v>
      </c>
      <c r="Q51" s="24">
        <v>0</v>
      </c>
      <c r="R51" s="24">
        <v>0</v>
      </c>
      <c r="S51" s="24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58077403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11767402484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13.14777777777778</v>
      </c>
      <c r="R52" s="120">
        <f>R14</f>
        <v>4.6296296296296289</v>
      </c>
      <c r="S52" s="120">
        <f>S14</f>
        <v>17.777407407407409</v>
      </c>
      <c r="T52" s="120">
        <f>T14</f>
        <v>17.777407407407409</v>
      </c>
      <c r="U52" s="121">
        <v>1745492523</v>
      </c>
      <c r="V52" s="121">
        <f>V15+V35+V45</f>
        <v>421265750</v>
      </c>
      <c r="W52" s="121">
        <f t="shared" si="5"/>
        <v>2166758273</v>
      </c>
      <c r="X52" s="122">
        <f t="shared" si="4"/>
        <v>18.413224804251541</v>
      </c>
      <c r="Y52" s="123">
        <f t="shared" si="1"/>
        <v>9600644211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T55" s="368" t="s">
        <v>132</v>
      </c>
      <c r="U55" s="368"/>
      <c r="V55" s="368"/>
      <c r="W55" s="368"/>
      <c r="X55" s="368"/>
      <c r="Y55" s="368"/>
    </row>
    <row r="56" spans="1:26" s="72" customFormat="1" ht="12.95" customHeight="1" x14ac:dyDescent="0.45">
      <c r="H56" s="73"/>
      <c r="I56" s="73"/>
      <c r="U56" s="73"/>
      <c r="V56" s="73"/>
      <c r="W56" s="73"/>
      <c r="Y56" s="84"/>
    </row>
    <row r="57" spans="1:26" s="72" customFormat="1" ht="12.95" customHeight="1" x14ac:dyDescent="0.45">
      <c r="I57" s="73"/>
      <c r="O57" s="371"/>
      <c r="P57" s="371"/>
      <c r="T57" s="368" t="s">
        <v>88</v>
      </c>
      <c r="U57" s="368"/>
      <c r="V57" s="368"/>
      <c r="W57" s="368"/>
      <c r="X57" s="368"/>
      <c r="Y57" s="368"/>
    </row>
    <row r="58" spans="1:26" s="72" customFormat="1" ht="12.95" customHeight="1" x14ac:dyDescent="0.45">
      <c r="I58" s="73"/>
      <c r="T58" s="368" t="s">
        <v>27</v>
      </c>
      <c r="U58" s="368"/>
      <c r="V58" s="368"/>
      <c r="W58" s="368"/>
      <c r="X58" s="368"/>
      <c r="Y58" s="368"/>
    </row>
    <row r="59" spans="1:26" s="72" customFormat="1" ht="12.95" customHeight="1" x14ac:dyDescent="0.45">
      <c r="I59" s="73"/>
      <c r="U59" s="73"/>
      <c r="V59" s="85"/>
      <c r="W59" s="73"/>
      <c r="Y59" s="86"/>
    </row>
    <row r="60" spans="1:26" s="72" customFormat="1" ht="12.95" customHeight="1" x14ac:dyDescent="0.45">
      <c r="I60" s="73"/>
      <c r="U60" s="73"/>
      <c r="V60" s="85"/>
      <c r="W60" s="73"/>
    </row>
    <row r="61" spans="1:26" s="72" customFormat="1" ht="12.95" customHeight="1" x14ac:dyDescent="0.45">
      <c r="I61" s="73"/>
      <c r="U61" s="73"/>
      <c r="V61" s="73"/>
      <c r="W61" s="73"/>
    </row>
    <row r="62" spans="1:26" s="72" customFormat="1" ht="12.95" customHeight="1" x14ac:dyDescent="0.45">
      <c r="I62" s="73"/>
      <c r="T62" s="368" t="s">
        <v>89</v>
      </c>
      <c r="U62" s="368"/>
      <c r="V62" s="368"/>
      <c r="W62" s="368"/>
      <c r="X62" s="368"/>
      <c r="Y62" s="368"/>
    </row>
    <row r="63" spans="1:26" s="72" customFormat="1" ht="12.95" customHeight="1" x14ac:dyDescent="0.45">
      <c r="I63" s="73"/>
      <c r="T63" s="368" t="s">
        <v>63</v>
      </c>
      <c r="U63" s="368"/>
      <c r="V63" s="368"/>
      <c r="W63" s="368"/>
      <c r="X63" s="368"/>
      <c r="Y63" s="368"/>
    </row>
    <row r="64" spans="1:26" s="72" customFormat="1" ht="12.95" customHeight="1" x14ac:dyDescent="0.45">
      <c r="I64" s="73"/>
      <c r="T64" s="368" t="s">
        <v>90</v>
      </c>
      <c r="U64" s="368"/>
      <c r="V64" s="368"/>
      <c r="W64" s="368"/>
      <c r="X64" s="368"/>
      <c r="Y64" s="368"/>
    </row>
    <row r="65" s="72" customFormat="1" ht="15" x14ac:dyDescent="0.45"/>
    <row r="66" s="72" customFormat="1" ht="15" x14ac:dyDescent="0.45"/>
  </sheetData>
  <mergeCells count="37">
    <mergeCell ref="T58:Y58"/>
    <mergeCell ref="T62:Y62"/>
    <mergeCell ref="T63:Y63"/>
    <mergeCell ref="T64:Y64"/>
    <mergeCell ref="K10:K11"/>
    <mergeCell ref="W10:X10"/>
    <mergeCell ref="Y8:Y11"/>
    <mergeCell ref="Q9:T9"/>
    <mergeCell ref="U9:X9"/>
    <mergeCell ref="P8:P11"/>
    <mergeCell ref="Q8:X8"/>
    <mergeCell ref="A12:E12"/>
    <mergeCell ref="F52:G52"/>
    <mergeCell ref="T55:Y55"/>
    <mergeCell ref="O57:P57"/>
    <mergeCell ref="T57:Y57"/>
    <mergeCell ref="J10:J11"/>
    <mergeCell ref="L8:L11"/>
    <mergeCell ref="M8:M11"/>
    <mergeCell ref="N8:N11"/>
    <mergeCell ref="O8:O11"/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Z8:Z11"/>
    <mergeCell ref="A9:A11"/>
    <mergeCell ref="B9:B11"/>
    <mergeCell ref="C9:C11"/>
    <mergeCell ref="D9:D11"/>
    <mergeCell ref="E9:E11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Z66"/>
  <sheetViews>
    <sheetView zoomScaleNormal="100" workbookViewId="0">
      <selection activeCell="M15" sqref="M15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265625" style="1" customWidth="1"/>
    <col min="9" max="9" width="10.1328125" style="1" customWidth="1"/>
    <col min="10" max="10" width="7.59765625" style="1" customWidth="1"/>
    <col min="11" max="11" width="9.73046875" style="1" customWidth="1"/>
    <col min="12" max="12" width="8.59765625" style="1" customWidth="1"/>
    <col min="13" max="13" width="7.3984375" style="1" customWidth="1"/>
    <col min="14" max="14" width="9.1328125" style="1" customWidth="1"/>
    <col min="15" max="15" width="8.1328125" style="1" customWidth="1"/>
    <col min="16" max="16" width="8.2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2.73046875" style="1" customWidth="1"/>
    <col min="23" max="23" width="15" style="1" customWidth="1"/>
    <col min="24" max="24" width="6.73046875" style="1" customWidth="1"/>
    <col min="25" max="25" width="16.398437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133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11767402484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11767402484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17.777407407407409</v>
      </c>
      <c r="R14" s="133">
        <f>(R15+R35+R45)/3</f>
        <v>7.6111111111111116</v>
      </c>
      <c r="S14" s="133">
        <f>Q14+R14</f>
        <v>25.38851851851852</v>
      </c>
      <c r="T14" s="275">
        <f>(P14*S14)/100</f>
        <v>25.388518518518524</v>
      </c>
      <c r="U14" s="88">
        <v>2166758273</v>
      </c>
      <c r="V14" s="88">
        <f>V15+V35+V45</f>
        <v>672489799</v>
      </c>
      <c r="W14" s="88">
        <f t="shared" ref="W14" si="0">U14+V14</f>
        <v>2839248072</v>
      </c>
      <c r="X14" s="135">
        <f>W14/H14*100</f>
        <v>24.128078187692591</v>
      </c>
      <c r="Y14" s="136">
        <f t="shared" ref="Y14:Y52" si="1">H14-W14</f>
        <v>8928154412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8503099195.9899998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72.259780419268949</v>
      </c>
      <c r="Q15" s="187">
        <v>50.266666666666666</v>
      </c>
      <c r="R15" s="187">
        <f>(R16+R19+R21+R28+R31)/5</f>
        <v>4</v>
      </c>
      <c r="S15" s="187">
        <f t="shared" ref="S15:S51" si="2">Q15+R15</f>
        <v>54.266666666666666</v>
      </c>
      <c r="T15" s="268">
        <f t="shared" ref="T15:T51" si="3">(P15*S15)/100</f>
        <v>39.212974174189952</v>
      </c>
      <c r="U15" s="188">
        <v>1921109473</v>
      </c>
      <c r="V15" s="188">
        <f>V16+V19+V21+V28+V31</f>
        <v>607128642</v>
      </c>
      <c r="W15" s="189">
        <f>U15+V15</f>
        <v>2528238115</v>
      </c>
      <c r="X15" s="187">
        <f t="shared" ref="X15:X52" si="4">W15/H15*100</f>
        <v>29.733136786082643</v>
      </c>
      <c r="Y15" s="190">
        <f t="shared" si="1"/>
        <v>5974861080.9899998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19880009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0.16894135325982618</v>
      </c>
      <c r="Q16" s="166">
        <v>27</v>
      </c>
      <c r="R16" s="166">
        <f>SUM(R17:R18)/2</f>
        <v>0</v>
      </c>
      <c r="S16" s="166">
        <f t="shared" si="2"/>
        <v>27</v>
      </c>
      <c r="T16" s="269">
        <f t="shared" si="3"/>
        <v>4.5614165380153067E-2</v>
      </c>
      <c r="U16" s="168">
        <v>7174000</v>
      </c>
      <c r="V16" s="168">
        <f>SUM(V17:V18)</f>
        <v>0</v>
      </c>
      <c r="W16" s="173">
        <f t="shared" ref="W16:W52" si="5">U16+V16</f>
        <v>7174000</v>
      </c>
      <c r="X16" s="166">
        <f t="shared" si="4"/>
        <v>36.086502777740193</v>
      </c>
      <c r="Y16" s="169">
        <f t="shared" si="1"/>
        <v>12706009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13370000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0.1136189572692787</v>
      </c>
      <c r="Q17" s="24">
        <v>54</v>
      </c>
      <c r="R17" s="24">
        <v>0</v>
      </c>
      <c r="S17" s="24">
        <f t="shared" si="2"/>
        <v>54</v>
      </c>
      <c r="T17" s="270">
        <f t="shared" si="3"/>
        <v>6.1354236925410498E-2</v>
      </c>
      <c r="U17" s="26">
        <v>7174000</v>
      </c>
      <c r="V17" s="26">
        <v>0</v>
      </c>
      <c r="W17" s="27">
        <f t="shared" si="5"/>
        <v>7174000</v>
      </c>
      <c r="X17" s="24">
        <f t="shared" si="4"/>
        <v>53.657442034405392</v>
      </c>
      <c r="Y17" s="28">
        <f t="shared" si="1"/>
        <v>6196000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5.5322395990547467E-2</v>
      </c>
      <c r="Q18" s="24">
        <v>0</v>
      </c>
      <c r="R18" s="24">
        <v>0</v>
      </c>
      <c r="S18" s="24">
        <f>Q18+R18</f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49.405499777073828</v>
      </c>
      <c r="Q19" s="166">
        <v>28</v>
      </c>
      <c r="R19" s="166">
        <f>R20</f>
        <v>6</v>
      </c>
      <c r="S19" s="166">
        <f t="shared" si="2"/>
        <v>34</v>
      </c>
      <c r="T19" s="269">
        <f t="shared" si="3"/>
        <v>16.797869924205102</v>
      </c>
      <c r="U19" s="168">
        <v>1155221299</v>
      </c>
      <c r="V19" s="168">
        <f>SUM(V20)</f>
        <v>389619496</v>
      </c>
      <c r="W19" s="168">
        <f t="shared" si="5"/>
        <v>1544840795</v>
      </c>
      <c r="X19" s="166">
        <f t="shared" si="4"/>
        <v>26.572219087634792</v>
      </c>
      <c r="Y19" s="169">
        <f t="shared" si="1"/>
        <v>4268903213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49.405499777073828</v>
      </c>
      <c r="Q20" s="24">
        <v>20</v>
      </c>
      <c r="R20" s="24">
        <v>6</v>
      </c>
      <c r="S20" s="24">
        <f t="shared" si="2"/>
        <v>26</v>
      </c>
      <c r="T20" s="270">
        <f t="shared" si="3"/>
        <v>12.845429942039196</v>
      </c>
      <c r="U20" s="32">
        <v>1155221299</v>
      </c>
      <c r="V20" s="26">
        <f>389619496</f>
        <v>389619496</v>
      </c>
      <c r="W20" s="26">
        <f t="shared" si="5"/>
        <v>1544840795</v>
      </c>
      <c r="X20" s="24">
        <f t="shared" si="4"/>
        <v>26.572219087634792</v>
      </c>
      <c r="Y20" s="28">
        <f t="shared" si="1"/>
        <v>4268903213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192329804.99000001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1.634428713146411</v>
      </c>
      <c r="Q21" s="166">
        <v>14.5</v>
      </c>
      <c r="R21" s="166">
        <f>SUM(R22:R27)/6</f>
        <v>2.6666666666666665</v>
      </c>
      <c r="S21" s="166">
        <f t="shared" si="2"/>
        <v>17.166666666666668</v>
      </c>
      <c r="T21" s="269">
        <f t="shared" si="3"/>
        <v>0.28057692909013388</v>
      </c>
      <c r="U21" s="168">
        <v>23188350</v>
      </c>
      <c r="V21" s="168">
        <f>SUM(V22:V27)</f>
        <v>16598000</v>
      </c>
      <c r="W21" s="173">
        <f t="shared" si="5"/>
        <v>39786350</v>
      </c>
      <c r="X21" s="166">
        <f>W21/H21*100</f>
        <v>20.686523340502866</v>
      </c>
      <c r="Y21" s="169">
        <f t="shared" si="1"/>
        <v>152543454.99000001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3.2873440041332407E-2</v>
      </c>
      <c r="Q22" s="24">
        <v>25</v>
      </c>
      <c r="R22" s="24">
        <v>0</v>
      </c>
      <c r="S22" s="24">
        <f t="shared" si="2"/>
        <v>25</v>
      </c>
      <c r="T22" s="270">
        <f t="shared" si="3"/>
        <v>8.2183600103331016E-3</v>
      </c>
      <c r="U22" s="32">
        <v>982200</v>
      </c>
      <c r="V22" s="32">
        <v>0</v>
      </c>
      <c r="W22" s="26">
        <f t="shared" si="5"/>
        <v>982200</v>
      </c>
      <c r="X22" s="24">
        <f t="shared" si="4"/>
        <v>25.39067044088565</v>
      </c>
      <c r="Y22" s="28">
        <f t="shared" si="1"/>
        <v>2886150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65355725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0.55539635946729471</v>
      </c>
      <c r="Q23" s="24">
        <v>19</v>
      </c>
      <c r="R23" s="24">
        <v>0</v>
      </c>
      <c r="S23" s="24">
        <f t="shared" si="2"/>
        <v>19</v>
      </c>
      <c r="T23" s="270">
        <f t="shared" si="3"/>
        <v>0.10552530829878598</v>
      </c>
      <c r="U23" s="32">
        <v>12739350</v>
      </c>
      <c r="V23" s="32">
        <v>0</v>
      </c>
      <c r="W23" s="26">
        <f t="shared" si="5"/>
        <v>12739350</v>
      </c>
      <c r="X23" s="24">
        <f t="shared" si="4"/>
        <v>19.492324505619056</v>
      </c>
      <c r="Y23" s="28">
        <f t="shared" si="1"/>
        <v>52616375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8.338900631080004E-2</v>
      </c>
      <c r="Q24" s="24">
        <v>16</v>
      </c>
      <c r="R24" s="24">
        <v>0</v>
      </c>
      <c r="S24" s="24">
        <f t="shared" si="2"/>
        <v>16</v>
      </c>
      <c r="T24" s="270">
        <f t="shared" si="3"/>
        <v>1.3342241009728006E-2</v>
      </c>
      <c r="U24" s="32">
        <v>1586800</v>
      </c>
      <c r="V24" s="32">
        <v>0</v>
      </c>
      <c r="W24" s="26">
        <f t="shared" si="5"/>
        <v>1586800</v>
      </c>
      <c r="X24" s="24">
        <f t="shared" si="4"/>
        <v>16.170847634498895</v>
      </c>
      <c r="Y24" s="28">
        <f t="shared" si="1"/>
        <v>8225920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5.7425672311184284E-2</v>
      </c>
      <c r="Q25" s="24">
        <v>20</v>
      </c>
      <c r="R25" s="24">
        <v>0</v>
      </c>
      <c r="S25" s="24">
        <f t="shared" si="2"/>
        <v>20</v>
      </c>
      <c r="T25" s="270">
        <f t="shared" si="3"/>
        <v>1.1485134462236857E-2</v>
      </c>
      <c r="U25" s="32">
        <v>1330000</v>
      </c>
      <c r="V25" s="32">
        <v>0</v>
      </c>
      <c r="W25" s="26">
        <f t="shared" si="5"/>
        <v>1330000</v>
      </c>
      <c r="X25" s="24">
        <f t="shared" si="4"/>
        <v>19.681805901407184</v>
      </c>
      <c r="Y25" s="28">
        <f t="shared" si="1"/>
        <v>5427509.9900000002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6.31575235920179E-2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99103500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0.84218671142378165</v>
      </c>
      <c r="Q27" s="24">
        <v>7</v>
      </c>
      <c r="R27" s="24">
        <v>16</v>
      </c>
      <c r="S27" s="24">
        <f t="shared" si="2"/>
        <v>23</v>
      </c>
      <c r="T27" s="270">
        <f t="shared" si="3"/>
        <v>0.19370294362746979</v>
      </c>
      <c r="U27" s="32">
        <v>6550000</v>
      </c>
      <c r="V27" s="26">
        <v>16598000</v>
      </c>
      <c r="W27" s="26">
        <f t="shared" si="5"/>
        <v>23148000</v>
      </c>
      <c r="X27" s="24">
        <f t="shared" si="4"/>
        <v>23.357399082777096</v>
      </c>
      <c r="Y27" s="28">
        <f t="shared" si="1"/>
        <v>75955500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17.69532403460536</v>
      </c>
      <c r="Q28" s="166">
        <v>18.5</v>
      </c>
      <c r="R28" s="166">
        <f>SUM(R29:R30)/2</f>
        <v>6</v>
      </c>
      <c r="S28" s="166">
        <f t="shared" si="2"/>
        <v>24.5</v>
      </c>
      <c r="T28" s="269">
        <f t="shared" si="3"/>
        <v>4.3353543884783132</v>
      </c>
      <c r="U28" s="168">
        <v>672501056</v>
      </c>
      <c r="V28" s="168">
        <f>SUM(V29:V30)</f>
        <v>163082926</v>
      </c>
      <c r="W28" s="173">
        <f t="shared" si="5"/>
        <v>835583982</v>
      </c>
      <c r="X28" s="166">
        <f t="shared" si="4"/>
        <v>40.128320014599382</v>
      </c>
      <c r="Y28" s="169">
        <f t="shared" si="1"/>
        <v>1246696018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0.13596883442845617</v>
      </c>
      <c r="Q29" s="24">
        <v>5</v>
      </c>
      <c r="R29" s="24">
        <v>4</v>
      </c>
      <c r="S29" s="24">
        <f t="shared" si="2"/>
        <v>9</v>
      </c>
      <c r="T29" s="270">
        <f t="shared" si="3"/>
        <v>1.2237195098561056E-2</v>
      </c>
      <c r="U29" s="32">
        <v>931056</v>
      </c>
      <c r="V29" s="32">
        <v>582926</v>
      </c>
      <c r="W29" s="26">
        <f t="shared" si="5"/>
        <v>1513982</v>
      </c>
      <c r="X29" s="24">
        <f t="shared" si="4"/>
        <v>9.4623875000000002</v>
      </c>
      <c r="Y29" s="28">
        <f t="shared" si="1"/>
        <v>14486018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17.559355200176903</v>
      </c>
      <c r="Q30" s="24">
        <v>32</v>
      </c>
      <c r="R30" s="24">
        <v>8</v>
      </c>
      <c r="S30" s="24">
        <f t="shared" si="2"/>
        <v>40</v>
      </c>
      <c r="T30" s="270">
        <f t="shared" si="3"/>
        <v>7.0237420800707602</v>
      </c>
      <c r="U30" s="32">
        <v>671570000</v>
      </c>
      <c r="V30" s="32">
        <f>110000000+52500000</f>
        <v>162500000</v>
      </c>
      <c r="W30" s="26">
        <f t="shared" si="5"/>
        <v>834070000</v>
      </c>
      <c r="X30" s="24">
        <f t="shared" si="4"/>
        <v>40.365778113324431</v>
      </c>
      <c r="Y30" s="28">
        <f t="shared" si="1"/>
        <v>1232210000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3.3555865411835266</v>
      </c>
      <c r="Q31" s="166">
        <v>14</v>
      </c>
      <c r="R31" s="166">
        <f>SUM(R32:R34)/3</f>
        <v>5.333333333333333</v>
      </c>
      <c r="S31" s="166">
        <f t="shared" si="2"/>
        <v>19.333333333333332</v>
      </c>
      <c r="T31" s="269">
        <f t="shared" si="3"/>
        <v>0.64874673129548166</v>
      </c>
      <c r="U31" s="168">
        <v>63024768</v>
      </c>
      <c r="V31" s="168">
        <f>SUM(V32:V34)</f>
        <v>37828220</v>
      </c>
      <c r="W31" s="173">
        <f t="shared" si="5"/>
        <v>100852988</v>
      </c>
      <c r="X31" s="166">
        <f t="shared" si="4"/>
        <v>25.541107081220044</v>
      </c>
      <c r="Y31" s="169">
        <f t="shared" si="1"/>
        <v>294012386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0.62128069554351451</v>
      </c>
      <c r="Q32" s="24">
        <v>28</v>
      </c>
      <c r="R32" s="24">
        <v>6</v>
      </c>
      <c r="S32" s="24">
        <f t="shared" si="2"/>
        <v>34</v>
      </c>
      <c r="T32" s="270">
        <f t="shared" si="3"/>
        <v>0.21123543648479493</v>
      </c>
      <c r="U32" s="32">
        <v>20140822</v>
      </c>
      <c r="V32" s="32">
        <v>5178489</v>
      </c>
      <c r="W32" s="26">
        <f t="shared" si="5"/>
        <v>25319311</v>
      </c>
      <c r="X32" s="24">
        <f t="shared" si="4"/>
        <v>34.632465947918575</v>
      </c>
      <c r="Y32" s="28">
        <f t="shared" si="1"/>
        <v>47789289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2.6100806564372458</v>
      </c>
      <c r="Q33" s="24">
        <v>14</v>
      </c>
      <c r="R33" s="24">
        <v>10</v>
      </c>
      <c r="S33" s="24">
        <f>Q33+R33</f>
        <v>24</v>
      </c>
      <c r="T33" s="270">
        <f t="shared" si="3"/>
        <v>0.62641935754493905</v>
      </c>
      <c r="U33" s="45">
        <v>42883946</v>
      </c>
      <c r="V33" s="45">
        <v>32649731</v>
      </c>
      <c r="W33" s="26">
        <f>U33+V33</f>
        <v>75533677</v>
      </c>
      <c r="X33" s="24">
        <f>W33/H33*100</f>
        <v>24.592693133007245</v>
      </c>
      <c r="Y33" s="28">
        <f>H33-W33</f>
        <v>231605019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0.12422518920276611</v>
      </c>
      <c r="Q34" s="226">
        <v>0</v>
      </c>
      <c r="R34" s="226">
        <v>0</v>
      </c>
      <c r="S34" s="226">
        <f t="shared" si="2"/>
        <v>0</v>
      </c>
      <c r="T34" s="327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2642907480.0100002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22.459565597450506</v>
      </c>
      <c r="Q35" s="239">
        <v>6.0555555555555554</v>
      </c>
      <c r="R35" s="239">
        <f>(R36+R40+R43)/3</f>
        <v>18.666666666666668</v>
      </c>
      <c r="S35" s="239">
        <f t="shared" si="2"/>
        <v>24.722222222222221</v>
      </c>
      <c r="T35" s="328">
        <f t="shared" si="3"/>
        <v>5.5525037171474869</v>
      </c>
      <c r="U35" s="240">
        <v>136701000</v>
      </c>
      <c r="V35" s="241">
        <f>V36+V40+V43</f>
        <v>56546520</v>
      </c>
      <c r="W35" s="241">
        <f t="shared" si="5"/>
        <v>193247520</v>
      </c>
      <c r="X35" s="239">
        <f>W35/H35*100</f>
        <v>7.3119290577386682</v>
      </c>
      <c r="Y35" s="242">
        <f>H35-W35</f>
        <v>2449659960.0100002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2506664780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21.301768027466409</v>
      </c>
      <c r="Q36" s="166">
        <v>7.166666666666667</v>
      </c>
      <c r="R36" s="166">
        <f>SUM(R37:R39)/3</f>
        <v>7</v>
      </c>
      <c r="S36" s="166">
        <f t="shared" si="2"/>
        <v>14.166666666666668</v>
      </c>
      <c r="T36" s="269">
        <f t="shared" si="3"/>
        <v>3.0177504705577416</v>
      </c>
      <c r="U36" s="173">
        <v>125219000</v>
      </c>
      <c r="V36" s="173">
        <f>SUM(V37:V39)</f>
        <v>40211620</v>
      </c>
      <c r="W36" s="173">
        <f t="shared" si="5"/>
        <v>165430620</v>
      </c>
      <c r="X36" s="166">
        <f>W36/H36*100</f>
        <v>6.5996307651476238</v>
      </c>
      <c r="Y36" s="169">
        <f>H36-W36</f>
        <v>2341234160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41460500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0.35233349123881297</v>
      </c>
      <c r="Q37" s="24">
        <v>16</v>
      </c>
      <c r="R37" s="24">
        <v>20</v>
      </c>
      <c r="S37" s="24">
        <f>Q37+R37</f>
        <v>36</v>
      </c>
      <c r="T37" s="270">
        <f t="shared" si="3"/>
        <v>0.12684005684597266</v>
      </c>
      <c r="U37" s="32">
        <v>6500000</v>
      </c>
      <c r="V37" s="26">
        <v>8779000</v>
      </c>
      <c r="W37" s="26">
        <f>U37+V37</f>
        <v>15279000</v>
      </c>
      <c r="X37" s="24">
        <f>W37/H37*100</f>
        <v>36.851943416022479</v>
      </c>
      <c r="Y37" s="28">
        <f>H37-W37</f>
        <v>26181500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2.3066092994529379E-2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2462490000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20.926368443233066</v>
      </c>
      <c r="Q39" s="24">
        <v>5</v>
      </c>
      <c r="R39" s="24">
        <v>1</v>
      </c>
      <c r="S39" s="24">
        <f t="shared" si="2"/>
        <v>6</v>
      </c>
      <c r="T39" s="270">
        <f t="shared" si="3"/>
        <v>1.2555821065939841</v>
      </c>
      <c r="U39" s="32">
        <v>118719000</v>
      </c>
      <c r="V39" s="26">
        <v>31432620</v>
      </c>
      <c r="W39" s="26">
        <f t="shared" si="5"/>
        <v>150151620</v>
      </c>
      <c r="X39" s="24">
        <f>W39/H39*100</f>
        <v>6.097552477370467</v>
      </c>
      <c r="Y39" s="28">
        <f t="shared" si="1"/>
        <v>2312338380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1.119811276865645</v>
      </c>
      <c r="Q40" s="166">
        <v>5</v>
      </c>
      <c r="R40" s="166">
        <f>SUM(R41:R42)/2</f>
        <v>49</v>
      </c>
      <c r="S40" s="166">
        <f>Q40+R40</f>
        <v>54</v>
      </c>
      <c r="T40" s="269">
        <f t="shared" si="3"/>
        <v>0.6046980895074483</v>
      </c>
      <c r="U40" s="168">
        <v>11482000</v>
      </c>
      <c r="V40" s="173">
        <f>SUM(V41:V42)</f>
        <v>16334900</v>
      </c>
      <c r="W40" s="173">
        <f t="shared" si="5"/>
        <v>27816900</v>
      </c>
      <c r="X40" s="166">
        <f t="shared" si="4"/>
        <v>21.10975945540239</v>
      </c>
      <c r="Y40" s="169">
        <f t="shared" si="1"/>
        <v>103955800.01000001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0.11016352187856379</v>
      </c>
      <c r="Q41" s="24">
        <v>0</v>
      </c>
      <c r="R41" s="24">
        <v>95</v>
      </c>
      <c r="S41" s="24">
        <f>Q41+R41</f>
        <v>95</v>
      </c>
      <c r="T41" s="270">
        <f t="shared" si="3"/>
        <v>0.10465534578463559</v>
      </c>
      <c r="U41" s="32">
        <v>0</v>
      </c>
      <c r="V41" s="26">
        <v>12354900</v>
      </c>
      <c r="W41" s="26">
        <f t="shared" si="5"/>
        <v>12354900</v>
      </c>
      <c r="X41" s="24">
        <f t="shared" si="4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1.009647754987081</v>
      </c>
      <c r="Q42" s="24">
        <v>10</v>
      </c>
      <c r="R42" s="24">
        <v>3</v>
      </c>
      <c r="S42" s="24">
        <f>Q42+R42</f>
        <v>13</v>
      </c>
      <c r="T42" s="270">
        <f t="shared" si="3"/>
        <v>0.13125420814832053</v>
      </c>
      <c r="U42" s="32">
        <v>11482000</v>
      </c>
      <c r="V42" s="26">
        <v>3980000</v>
      </c>
      <c r="W42" s="26">
        <f t="shared" si="5"/>
        <v>15462000</v>
      </c>
      <c r="X42" s="24">
        <f t="shared" si="4"/>
        <v>13.014131088963858</v>
      </c>
      <c r="Y42" s="28">
        <f t="shared" si="1"/>
        <v>103347315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3.7986293118449949E-2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3.7986293118449949E-2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>
        <v>0</v>
      </c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621395808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5.2806539832805468</v>
      </c>
      <c r="Q45" s="187">
        <v>5</v>
      </c>
      <c r="R45" s="187">
        <f>(R46+R50)/2</f>
        <v>0.16666666666666666</v>
      </c>
      <c r="S45" s="187">
        <f t="shared" si="2"/>
        <v>5.166666666666667</v>
      </c>
      <c r="T45" s="268">
        <f t="shared" si="3"/>
        <v>0.27283378913616163</v>
      </c>
      <c r="U45" s="188">
        <v>108947800</v>
      </c>
      <c r="V45" s="189">
        <f>V46+V50</f>
        <v>8814637</v>
      </c>
      <c r="W45" s="189">
        <f t="shared" si="5"/>
        <v>117762437</v>
      </c>
      <c r="X45" s="187">
        <f t="shared" si="4"/>
        <v>18.951276381961044</v>
      </c>
      <c r="Y45" s="190">
        <f t="shared" si="1"/>
        <v>503633371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563318405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4.787109183746689</v>
      </c>
      <c r="Q46" s="166">
        <v>9</v>
      </c>
      <c r="R46" s="166">
        <f>SUM(R47:R49)/3</f>
        <v>0.33333333333333331</v>
      </c>
      <c r="S46" s="166">
        <f t="shared" si="2"/>
        <v>9.3333333333333339</v>
      </c>
      <c r="T46" s="269">
        <f t="shared" si="3"/>
        <v>0.44679685714969103</v>
      </c>
      <c r="U46" s="168">
        <v>108947800</v>
      </c>
      <c r="V46" s="173">
        <f>SUM(V47:V49)</f>
        <v>8814637</v>
      </c>
      <c r="W46" s="173">
        <f t="shared" si="5"/>
        <v>117762437</v>
      </c>
      <c r="X46" s="166">
        <f t="shared" si="4"/>
        <v>20.905128601292549</v>
      </c>
      <c r="Y46" s="169">
        <f t="shared" si="1"/>
        <v>445555968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443969600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3.7728768146042451</v>
      </c>
      <c r="Q47" s="24">
        <v>25</v>
      </c>
      <c r="R47" s="24">
        <v>1</v>
      </c>
      <c r="S47" s="24">
        <f t="shared" si="2"/>
        <v>26</v>
      </c>
      <c r="T47" s="270">
        <f t="shared" si="3"/>
        <v>0.98094797179710369</v>
      </c>
      <c r="U47" s="26">
        <v>108947800</v>
      </c>
      <c r="V47" s="26">
        <v>8814637</v>
      </c>
      <c r="W47" s="26">
        <f t="shared" si="5"/>
        <v>117762437</v>
      </c>
      <c r="X47" s="24">
        <f t="shared" si="4"/>
        <v>26.524887514820833</v>
      </c>
      <c r="Y47" s="28">
        <f t="shared" si="1"/>
        <v>326207163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1.014232369142444</v>
      </c>
      <c r="Q49" s="24">
        <v>0</v>
      </c>
      <c r="R49" s="24">
        <v>0</v>
      </c>
      <c r="S49" s="24">
        <f t="shared" si="2"/>
        <v>0</v>
      </c>
      <c r="T49" s="270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58077403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0.49354479953385777</v>
      </c>
      <c r="Q50" s="166">
        <v>0</v>
      </c>
      <c r="R50" s="166">
        <f>R51</f>
        <v>0</v>
      </c>
      <c r="S50" s="166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58077403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58077403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0.49354479953385777</v>
      </c>
      <c r="Q51" s="24">
        <v>0</v>
      </c>
      <c r="R51" s="24">
        <v>0</v>
      </c>
      <c r="S51" s="24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58077403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11767402484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17.777407407407409</v>
      </c>
      <c r="R52" s="120">
        <f>R14</f>
        <v>7.6111111111111116</v>
      </c>
      <c r="S52" s="120">
        <f>S14</f>
        <v>25.38851851851852</v>
      </c>
      <c r="T52" s="120">
        <f>T14</f>
        <v>25.388518518518524</v>
      </c>
      <c r="U52" s="121">
        <v>2166758273</v>
      </c>
      <c r="V52" s="121">
        <f>V15+V35+V45</f>
        <v>672489799</v>
      </c>
      <c r="W52" s="121">
        <f t="shared" si="5"/>
        <v>2839248072</v>
      </c>
      <c r="X52" s="122">
        <f t="shared" si="4"/>
        <v>24.128078187692591</v>
      </c>
      <c r="Y52" s="123">
        <f t="shared" si="1"/>
        <v>8928154412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T55" s="368" t="s">
        <v>134</v>
      </c>
      <c r="U55" s="368"/>
      <c r="V55" s="368"/>
      <c r="W55" s="368"/>
      <c r="X55" s="368"/>
      <c r="Y55" s="368"/>
    </row>
    <row r="56" spans="1:26" s="72" customFormat="1" ht="12.95" customHeight="1" x14ac:dyDescent="0.45">
      <c r="H56" s="73"/>
      <c r="I56" s="73"/>
      <c r="U56" s="73"/>
      <c r="V56" s="73"/>
      <c r="W56" s="73"/>
      <c r="Y56" s="84"/>
    </row>
    <row r="57" spans="1:26" s="72" customFormat="1" ht="12.95" customHeight="1" x14ac:dyDescent="0.45">
      <c r="I57" s="73"/>
      <c r="O57" s="371"/>
      <c r="P57" s="371"/>
      <c r="T57" s="368" t="s">
        <v>88</v>
      </c>
      <c r="U57" s="368"/>
      <c r="V57" s="368"/>
      <c r="W57" s="368"/>
      <c r="X57" s="368"/>
      <c r="Y57" s="368"/>
    </row>
    <row r="58" spans="1:26" s="72" customFormat="1" ht="12.95" customHeight="1" x14ac:dyDescent="0.45">
      <c r="I58" s="73"/>
      <c r="T58" s="368" t="s">
        <v>27</v>
      </c>
      <c r="U58" s="368"/>
      <c r="V58" s="368"/>
      <c r="W58" s="368"/>
      <c r="X58" s="368"/>
      <c r="Y58" s="368"/>
    </row>
    <row r="59" spans="1:26" s="72" customFormat="1" ht="12.95" customHeight="1" x14ac:dyDescent="0.45">
      <c r="I59" s="73"/>
      <c r="U59" s="73"/>
      <c r="V59" s="85"/>
      <c r="W59" s="73"/>
      <c r="Y59" s="86"/>
    </row>
    <row r="60" spans="1:26" s="72" customFormat="1" ht="12.95" customHeight="1" x14ac:dyDescent="0.45">
      <c r="I60" s="73"/>
      <c r="U60" s="73"/>
      <c r="V60" s="85"/>
      <c r="W60" s="73"/>
    </row>
    <row r="61" spans="1:26" s="72" customFormat="1" ht="12.95" customHeight="1" x14ac:dyDescent="0.45">
      <c r="I61" s="73"/>
      <c r="U61" s="73"/>
      <c r="V61" s="73"/>
      <c r="W61" s="73"/>
    </row>
    <row r="62" spans="1:26" s="72" customFormat="1" ht="12.95" customHeight="1" x14ac:dyDescent="0.45">
      <c r="I62" s="73"/>
      <c r="T62" s="368" t="s">
        <v>89</v>
      </c>
      <c r="U62" s="368"/>
      <c r="V62" s="368"/>
      <c r="W62" s="368"/>
      <c r="X62" s="368"/>
      <c r="Y62" s="368"/>
    </row>
    <row r="63" spans="1:26" s="72" customFormat="1" ht="12.95" customHeight="1" x14ac:dyDescent="0.45">
      <c r="I63" s="73"/>
      <c r="T63" s="368" t="s">
        <v>63</v>
      </c>
      <c r="U63" s="368"/>
      <c r="V63" s="368"/>
      <c r="W63" s="368"/>
      <c r="X63" s="368"/>
      <c r="Y63" s="368"/>
    </row>
    <row r="64" spans="1:26" s="72" customFormat="1" ht="12.95" customHeight="1" x14ac:dyDescent="0.45">
      <c r="I64" s="73"/>
      <c r="T64" s="368" t="s">
        <v>90</v>
      </c>
      <c r="U64" s="368"/>
      <c r="V64" s="368"/>
      <c r="W64" s="368"/>
      <c r="X64" s="368"/>
      <c r="Y64" s="368"/>
    </row>
    <row r="65" s="72" customFormat="1" ht="15" x14ac:dyDescent="0.45"/>
    <row r="66" s="72" customFormat="1" ht="15" x14ac:dyDescent="0.45"/>
  </sheetData>
  <mergeCells count="37"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Z8:Z11"/>
    <mergeCell ref="A9:A11"/>
    <mergeCell ref="B9:B11"/>
    <mergeCell ref="C9:C11"/>
    <mergeCell ref="D9:D11"/>
    <mergeCell ref="E9:E11"/>
    <mergeCell ref="J10:J11"/>
    <mergeCell ref="L8:L11"/>
    <mergeCell ref="M8:M11"/>
    <mergeCell ref="N8:N11"/>
    <mergeCell ref="O8:O11"/>
    <mergeCell ref="A12:E12"/>
    <mergeCell ref="F52:G52"/>
    <mergeCell ref="T55:Y55"/>
    <mergeCell ref="O57:P57"/>
    <mergeCell ref="T57:Y57"/>
    <mergeCell ref="T58:Y58"/>
    <mergeCell ref="T62:Y62"/>
    <mergeCell ref="T63:Y63"/>
    <mergeCell ref="T64:Y64"/>
    <mergeCell ref="K10:K11"/>
    <mergeCell ref="W10:X10"/>
    <mergeCell ref="Y8:Y11"/>
    <mergeCell ref="Q9:T9"/>
    <mergeCell ref="U9:X9"/>
    <mergeCell ref="P8:P11"/>
    <mergeCell ref="Q8:X8"/>
  </mergeCells>
  <pageMargins left="0.31" right="0.15748031496063" top="0.36" bottom="0.25" header="0.37" footer="0.118110236220472"/>
  <pageSetup paperSize="9" scale="58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7"/>
  <sheetViews>
    <sheetView topLeftCell="H44" workbookViewId="0">
      <selection activeCell="Q47" sqref="Q47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6.1328125" style="1" customWidth="1"/>
    <col min="9" max="9" width="10.1328125" style="1" customWidth="1"/>
    <col min="10" max="10" width="7.59765625" style="1" customWidth="1"/>
    <col min="11" max="11" width="9.73046875" style="1" customWidth="1"/>
    <col min="12" max="12" width="7.86328125" style="1" customWidth="1"/>
    <col min="13" max="13" width="5.73046875" style="1" customWidth="1"/>
    <col min="14" max="14" width="9.1328125" style="1" customWidth="1"/>
    <col min="15" max="15" width="8.1328125" style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136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16.5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13.5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11767402484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11767402484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25.38851851851852</v>
      </c>
      <c r="R14" s="133">
        <f>(R15+R35+R45)/3</f>
        <v>5.3925925925925924</v>
      </c>
      <c r="S14" s="133">
        <f>Q14+R14</f>
        <v>30.781111111111112</v>
      </c>
      <c r="T14" s="275">
        <f>(P14*S14)/100</f>
        <v>30.781111111111112</v>
      </c>
      <c r="U14" s="283">
        <v>2839248072</v>
      </c>
      <c r="V14" s="88">
        <f>V15+V35+V45</f>
        <v>1585876996</v>
      </c>
      <c r="W14" s="88">
        <f t="shared" ref="W14" si="0">U14+V14</f>
        <v>4425125068</v>
      </c>
      <c r="X14" s="135">
        <f>W14/H14*100</f>
        <v>37.604943606006429</v>
      </c>
      <c r="Y14" s="136">
        <f t="shared" ref="Y14:Y52" si="1">H14-W14</f>
        <v>7342277416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8503099195.9899998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72.259780419268949</v>
      </c>
      <c r="Q15" s="187">
        <v>54.266666666666666</v>
      </c>
      <c r="R15" s="187">
        <f>(R16+R19+R21+R28+R31)/5</f>
        <v>7.0666666666666655</v>
      </c>
      <c r="S15" s="187">
        <f t="shared" ref="S15:S51" si="2">Q15+R15</f>
        <v>61.333333333333329</v>
      </c>
      <c r="T15" s="268">
        <f t="shared" ref="T15:T51" si="3">(P15*S15)/100</f>
        <v>44.319331990484955</v>
      </c>
      <c r="U15" s="282">
        <v>2528238115</v>
      </c>
      <c r="V15" s="188">
        <f>V16+V19+V21+V28+V31</f>
        <v>1429474551</v>
      </c>
      <c r="W15" s="189">
        <f>U15+V15</f>
        <v>3957712666</v>
      </c>
      <c r="X15" s="187">
        <f t="shared" ref="X15:X52" si="4">W15/H15*100</f>
        <v>46.544354884939231</v>
      </c>
      <c r="Y15" s="190">
        <f t="shared" si="1"/>
        <v>4545386529.9899998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19880009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0.16894135325982618</v>
      </c>
      <c r="Q16" s="166">
        <v>27</v>
      </c>
      <c r="R16" s="166">
        <f>SUM(R17:R18)/2</f>
        <v>0</v>
      </c>
      <c r="S16" s="166">
        <f t="shared" si="2"/>
        <v>27</v>
      </c>
      <c r="T16" s="269">
        <f t="shared" si="3"/>
        <v>4.5614165380153067E-2</v>
      </c>
      <c r="U16" s="168">
        <v>7174000</v>
      </c>
      <c r="V16" s="168">
        <f>SUM(V17:V18)</f>
        <v>0</v>
      </c>
      <c r="W16" s="173">
        <f t="shared" ref="W16:W52" si="5">U16+V16</f>
        <v>7174000</v>
      </c>
      <c r="X16" s="166">
        <f t="shared" si="4"/>
        <v>36.086502777740193</v>
      </c>
      <c r="Y16" s="169">
        <f t="shared" si="1"/>
        <v>12706009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13370000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0.1136189572692787</v>
      </c>
      <c r="Q17" s="24">
        <v>54</v>
      </c>
      <c r="R17" s="24">
        <v>0</v>
      </c>
      <c r="S17" s="24">
        <f t="shared" si="2"/>
        <v>54</v>
      </c>
      <c r="T17" s="270">
        <f t="shared" si="3"/>
        <v>6.1354236925410498E-2</v>
      </c>
      <c r="U17" s="26">
        <v>7174000</v>
      </c>
      <c r="V17" s="26">
        <v>0</v>
      </c>
      <c r="W17" s="27">
        <f t="shared" si="5"/>
        <v>7174000</v>
      </c>
      <c r="X17" s="24">
        <f t="shared" si="4"/>
        <v>53.657442034405392</v>
      </c>
      <c r="Y17" s="28">
        <f t="shared" si="1"/>
        <v>6196000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5.5322395990547467E-2</v>
      </c>
      <c r="Q18" s="24">
        <v>0</v>
      </c>
      <c r="R18" s="24">
        <v>0</v>
      </c>
      <c r="S18" s="24">
        <f>Q18+R18</f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49.405499777073828</v>
      </c>
      <c r="Q19" s="166">
        <v>34</v>
      </c>
      <c r="R19" s="166">
        <f>R20</f>
        <v>21</v>
      </c>
      <c r="S19" s="166">
        <f t="shared" si="2"/>
        <v>55</v>
      </c>
      <c r="T19" s="269">
        <f t="shared" si="3"/>
        <v>27.173024877390606</v>
      </c>
      <c r="U19" s="168">
        <v>1544840795</v>
      </c>
      <c r="V19" s="168">
        <f>SUM(V20)</f>
        <v>1186306311</v>
      </c>
      <c r="W19" s="168">
        <f t="shared" si="5"/>
        <v>2731147106</v>
      </c>
      <c r="X19" s="166">
        <f t="shared" si="4"/>
        <v>46.977422849059167</v>
      </c>
      <c r="Y19" s="169">
        <f t="shared" si="1"/>
        <v>3082596902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49.405499777073828</v>
      </c>
      <c r="Q20" s="24">
        <v>26</v>
      </c>
      <c r="R20" s="24">
        <v>21</v>
      </c>
      <c r="S20" s="24">
        <f t="shared" si="2"/>
        <v>47</v>
      </c>
      <c r="T20" s="270">
        <f t="shared" si="3"/>
        <v>23.2205848952247</v>
      </c>
      <c r="U20" s="32">
        <v>1544840795</v>
      </c>
      <c r="V20" s="26">
        <f>1186306311</f>
        <v>1186306311</v>
      </c>
      <c r="W20" s="26">
        <f t="shared" si="5"/>
        <v>2731147106</v>
      </c>
      <c r="X20" s="24">
        <f t="shared" si="4"/>
        <v>46.977422849059167</v>
      </c>
      <c r="Y20" s="28">
        <f t="shared" si="1"/>
        <v>3082596902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192329804.99000001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1.634428713146411</v>
      </c>
      <c r="Q21" s="166">
        <v>17.166666666666668</v>
      </c>
      <c r="R21" s="166">
        <f>SUM(R22:R27)/6</f>
        <v>3.3333333333333335</v>
      </c>
      <c r="S21" s="166">
        <f t="shared" si="2"/>
        <v>20.5</v>
      </c>
      <c r="T21" s="269">
        <f t="shared" si="3"/>
        <v>0.33505788619501425</v>
      </c>
      <c r="U21" s="168">
        <v>39786350</v>
      </c>
      <c r="V21" s="168">
        <f>SUM(V22:V27)</f>
        <v>19059134</v>
      </c>
      <c r="W21" s="173">
        <f t="shared" si="5"/>
        <v>58845484</v>
      </c>
      <c r="X21" s="166">
        <f>W21/H21*100</f>
        <v>30.596133554578092</v>
      </c>
      <c r="Y21" s="169">
        <f t="shared" si="1"/>
        <v>133484320.99000001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3.2873440041332407E-2</v>
      </c>
      <c r="Q22" s="24">
        <v>25</v>
      </c>
      <c r="R22" s="24">
        <v>0</v>
      </c>
      <c r="S22" s="24">
        <f t="shared" si="2"/>
        <v>25</v>
      </c>
      <c r="T22" s="270">
        <f t="shared" si="3"/>
        <v>8.2183600103331016E-3</v>
      </c>
      <c r="U22" s="32">
        <v>982200</v>
      </c>
      <c r="V22" s="32">
        <v>0</v>
      </c>
      <c r="W22" s="26">
        <f t="shared" si="5"/>
        <v>982200</v>
      </c>
      <c r="X22" s="24">
        <f t="shared" si="4"/>
        <v>25.39067044088565</v>
      </c>
      <c r="Y22" s="28">
        <f t="shared" si="1"/>
        <v>2886150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65355725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0.55539635946729471</v>
      </c>
      <c r="Q23" s="24">
        <v>19</v>
      </c>
      <c r="R23" s="24">
        <v>0</v>
      </c>
      <c r="S23" s="24">
        <f t="shared" si="2"/>
        <v>19</v>
      </c>
      <c r="T23" s="270">
        <f t="shared" si="3"/>
        <v>0.10552530829878598</v>
      </c>
      <c r="U23" s="32">
        <v>12739350</v>
      </c>
      <c r="V23" s="32">
        <v>0</v>
      </c>
      <c r="W23" s="26">
        <f t="shared" si="5"/>
        <v>12739350</v>
      </c>
      <c r="X23" s="24">
        <f t="shared" si="4"/>
        <v>19.492324505619056</v>
      </c>
      <c r="Y23" s="28">
        <f t="shared" si="1"/>
        <v>52616375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8.338900631080004E-2</v>
      </c>
      <c r="Q24" s="24">
        <v>16</v>
      </c>
      <c r="R24" s="24">
        <v>0</v>
      </c>
      <c r="S24" s="24">
        <f t="shared" si="2"/>
        <v>16</v>
      </c>
      <c r="T24" s="270">
        <f t="shared" si="3"/>
        <v>1.3342241009728006E-2</v>
      </c>
      <c r="U24" s="32">
        <v>1586800</v>
      </c>
      <c r="V24" s="32">
        <v>0</v>
      </c>
      <c r="W24" s="26">
        <f t="shared" si="5"/>
        <v>1586800</v>
      </c>
      <c r="X24" s="24">
        <f t="shared" si="4"/>
        <v>16.170847634498895</v>
      </c>
      <c r="Y24" s="28">
        <f t="shared" si="1"/>
        <v>8225920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5.7425672311184284E-2</v>
      </c>
      <c r="Q25" s="24">
        <v>20</v>
      </c>
      <c r="R25" s="24">
        <v>0</v>
      </c>
      <c r="S25" s="24">
        <f t="shared" si="2"/>
        <v>20</v>
      </c>
      <c r="T25" s="270">
        <f t="shared" si="3"/>
        <v>1.1485134462236857E-2</v>
      </c>
      <c r="U25" s="32">
        <v>1330000</v>
      </c>
      <c r="V25" s="32">
        <v>0</v>
      </c>
      <c r="W25" s="26">
        <f t="shared" si="5"/>
        <v>1330000</v>
      </c>
      <c r="X25" s="24">
        <f t="shared" si="4"/>
        <v>19.681805901407184</v>
      </c>
      <c r="Y25" s="28">
        <f t="shared" si="1"/>
        <v>5427509.9900000002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6.31575235920179E-2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99103500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0.84218671142378165</v>
      </c>
      <c r="Q27" s="24">
        <v>23</v>
      </c>
      <c r="R27" s="24">
        <v>20</v>
      </c>
      <c r="S27" s="24">
        <f t="shared" si="2"/>
        <v>43</v>
      </c>
      <c r="T27" s="270">
        <f t="shared" si="3"/>
        <v>0.36214028591222608</v>
      </c>
      <c r="U27" s="32">
        <v>23148000</v>
      </c>
      <c r="V27" s="26">
        <f>19059134</f>
        <v>19059134</v>
      </c>
      <c r="W27" s="26">
        <f t="shared" si="5"/>
        <v>42207134</v>
      </c>
      <c r="X27" s="24">
        <f t="shared" si="4"/>
        <v>42.588943881901244</v>
      </c>
      <c r="Y27" s="28">
        <f t="shared" si="1"/>
        <v>56896366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17.69532403460536</v>
      </c>
      <c r="Q28" s="166">
        <v>24.5</v>
      </c>
      <c r="R28" s="166">
        <f>SUM(R29:R30)/2</f>
        <v>5</v>
      </c>
      <c r="S28" s="166">
        <f t="shared" si="2"/>
        <v>29.5</v>
      </c>
      <c r="T28" s="269">
        <f t="shared" si="3"/>
        <v>5.2201205902085812</v>
      </c>
      <c r="U28" s="168">
        <v>835583982</v>
      </c>
      <c r="V28" s="168">
        <f>SUM(V29:V30)</f>
        <v>180920000</v>
      </c>
      <c r="W28" s="173">
        <f t="shared" si="5"/>
        <v>1016503982</v>
      </c>
      <c r="X28" s="166">
        <f t="shared" si="4"/>
        <v>48.816872946961986</v>
      </c>
      <c r="Y28" s="169">
        <f t="shared" si="1"/>
        <v>1065776018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0.13596883442845617</v>
      </c>
      <c r="Q29" s="24">
        <v>9</v>
      </c>
      <c r="R29" s="24">
        <v>0</v>
      </c>
      <c r="S29" s="24">
        <f t="shared" si="2"/>
        <v>9</v>
      </c>
      <c r="T29" s="270">
        <f t="shared" si="3"/>
        <v>1.2237195098561056E-2</v>
      </c>
      <c r="U29" s="32">
        <v>1513982</v>
      </c>
      <c r="V29" s="32">
        <v>0</v>
      </c>
      <c r="W29" s="26">
        <f t="shared" si="5"/>
        <v>1513982</v>
      </c>
      <c r="X29" s="24">
        <f t="shared" si="4"/>
        <v>9.4623875000000002</v>
      </c>
      <c r="Y29" s="28">
        <f t="shared" si="1"/>
        <v>14486018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17.559355200176903</v>
      </c>
      <c r="Q30" s="24">
        <v>40</v>
      </c>
      <c r="R30" s="24">
        <v>10</v>
      </c>
      <c r="S30" s="24">
        <f t="shared" si="2"/>
        <v>50</v>
      </c>
      <c r="T30" s="270">
        <f t="shared" si="3"/>
        <v>8.7796776000884513</v>
      </c>
      <c r="U30" s="32">
        <v>834070000</v>
      </c>
      <c r="V30" s="32">
        <f>180920000</f>
        <v>180920000</v>
      </c>
      <c r="W30" s="26">
        <f t="shared" si="5"/>
        <v>1014990000</v>
      </c>
      <c r="X30" s="24">
        <f t="shared" si="4"/>
        <v>49.121609849584765</v>
      </c>
      <c r="Y30" s="28">
        <f t="shared" si="1"/>
        <v>1051290000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3.3555865411835266</v>
      </c>
      <c r="Q31" s="166">
        <v>19.333333333333332</v>
      </c>
      <c r="R31" s="166">
        <f>SUM(R32:R34)/3</f>
        <v>6</v>
      </c>
      <c r="S31" s="166">
        <f t="shared" si="2"/>
        <v>25.333333333333332</v>
      </c>
      <c r="T31" s="269">
        <f t="shared" si="3"/>
        <v>0.85008192376649339</v>
      </c>
      <c r="U31" s="168">
        <v>100852988</v>
      </c>
      <c r="V31" s="168">
        <f>SUM(V32:V34)</f>
        <v>43189106</v>
      </c>
      <c r="W31" s="173">
        <f t="shared" si="5"/>
        <v>144042094</v>
      </c>
      <c r="X31" s="166">
        <f t="shared" si="4"/>
        <v>36.478785805108352</v>
      </c>
      <c r="Y31" s="169">
        <f t="shared" si="1"/>
        <v>250823280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0.62128069554351451</v>
      </c>
      <c r="Q32" s="24">
        <v>34</v>
      </c>
      <c r="R32" s="24">
        <v>3</v>
      </c>
      <c r="S32" s="24">
        <f t="shared" si="2"/>
        <v>37</v>
      </c>
      <c r="T32" s="270">
        <f t="shared" si="3"/>
        <v>0.22987385735110039</v>
      </c>
      <c r="U32" s="32">
        <v>25319311</v>
      </c>
      <c r="V32" s="32">
        <f>1718392</f>
        <v>1718392</v>
      </c>
      <c r="W32" s="26">
        <f t="shared" si="5"/>
        <v>27037703</v>
      </c>
      <c r="X32" s="24">
        <f t="shared" si="4"/>
        <v>36.982930872701708</v>
      </c>
      <c r="Y32" s="28">
        <f t="shared" si="1"/>
        <v>46070897</v>
      </c>
      <c r="Z32" s="29"/>
    </row>
    <row r="33" spans="1:26" ht="54" customHeight="1" x14ac:dyDescent="0.45">
      <c r="A33" s="6">
        <v>1</v>
      </c>
      <c r="B33" s="15" t="s">
        <v>72</v>
      </c>
      <c r="C33" s="35">
        <v>1</v>
      </c>
      <c r="D33" s="7" t="s">
        <v>46</v>
      </c>
      <c r="E33" s="16">
        <v>2</v>
      </c>
      <c r="F33" s="44" t="s">
        <v>122</v>
      </c>
      <c r="G33" s="9" t="s">
        <v>75</v>
      </c>
      <c r="H33" s="43">
        <v>307138696</v>
      </c>
      <c r="I33" s="19" t="s">
        <v>68</v>
      </c>
      <c r="J33" s="20" t="s">
        <v>16</v>
      </c>
      <c r="K33" s="20" t="s">
        <v>17</v>
      </c>
      <c r="L33" s="21"/>
      <c r="M33" s="39"/>
      <c r="N33" s="40"/>
      <c r="O33" s="41"/>
      <c r="P33" s="25">
        <f>H33/H52*100</f>
        <v>2.6100806564372458</v>
      </c>
      <c r="Q33" s="24">
        <v>24</v>
      </c>
      <c r="R33" s="24">
        <v>15</v>
      </c>
      <c r="S33" s="24">
        <f>Q33+R33</f>
        <v>39</v>
      </c>
      <c r="T33" s="270">
        <f t="shared" si="3"/>
        <v>1.0179314560105259</v>
      </c>
      <c r="U33" s="45">
        <v>75533677</v>
      </c>
      <c r="V33" s="45">
        <f>41470714</f>
        <v>41470714</v>
      </c>
      <c r="W33" s="26">
        <f>U33+V33</f>
        <v>117004391</v>
      </c>
      <c r="X33" s="24">
        <f>W33/H33*100</f>
        <v>38.094968990817101</v>
      </c>
      <c r="Y33" s="28">
        <f>H33-W33</f>
        <v>190134305</v>
      </c>
      <c r="Z33" s="42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217" t="s">
        <v>75</v>
      </c>
      <c r="H34" s="218">
        <v>14618078</v>
      </c>
      <c r="I34" s="219" t="s">
        <v>68</v>
      </c>
      <c r="J34" s="220" t="s">
        <v>16</v>
      </c>
      <c r="K34" s="220" t="s">
        <v>17</v>
      </c>
      <c r="L34" s="221"/>
      <c r="M34" s="222"/>
      <c r="N34" s="223"/>
      <c r="O34" s="224"/>
      <c r="P34" s="225">
        <f>H34/H52*100</f>
        <v>0.12422518920276611</v>
      </c>
      <c r="Q34" s="226">
        <v>0</v>
      </c>
      <c r="R34" s="226">
        <v>0</v>
      </c>
      <c r="S34" s="226">
        <f t="shared" si="2"/>
        <v>0</v>
      </c>
      <c r="T34" s="270">
        <f t="shared" si="3"/>
        <v>0</v>
      </c>
      <c r="U34" s="227">
        <v>0</v>
      </c>
      <c r="V34" s="227">
        <v>0</v>
      </c>
      <c r="W34" s="228">
        <f t="shared" si="5"/>
        <v>0</v>
      </c>
      <c r="X34" s="226">
        <f t="shared" si="4"/>
        <v>0</v>
      </c>
      <c r="Y34" s="229">
        <f t="shared" si="1"/>
        <v>14618078</v>
      </c>
      <c r="Z34" s="230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2642907480.0100002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22.459565597450506</v>
      </c>
      <c r="Q35" s="239">
        <v>24.722222222222221</v>
      </c>
      <c r="R35" s="239">
        <f>(R36+R40+R43)/3</f>
        <v>6.1111111111111116</v>
      </c>
      <c r="S35" s="239">
        <f t="shared" si="2"/>
        <v>30.833333333333332</v>
      </c>
      <c r="T35" s="268">
        <f t="shared" si="3"/>
        <v>6.9250327258805724</v>
      </c>
      <c r="U35" s="240">
        <v>193247520</v>
      </c>
      <c r="V35" s="241">
        <f>V36+V40+V43</f>
        <v>82997445</v>
      </c>
      <c r="W35" s="241">
        <f t="shared" si="5"/>
        <v>276244965</v>
      </c>
      <c r="X35" s="239">
        <f>W35/H35*100</f>
        <v>10.45231310930925</v>
      </c>
      <c r="Y35" s="242">
        <f>H35-W35</f>
        <v>2366662515.0100002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2506664780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21.301768027466409</v>
      </c>
      <c r="Q36" s="166">
        <v>14.166666666666668</v>
      </c>
      <c r="R36" s="166">
        <f>SUM(R37:R39)/3</f>
        <v>9.3333333333333339</v>
      </c>
      <c r="S36" s="166">
        <f t="shared" si="2"/>
        <v>23.5</v>
      </c>
      <c r="T36" s="269">
        <f t="shared" si="3"/>
        <v>5.0059154864546063</v>
      </c>
      <c r="U36" s="173">
        <v>165430620</v>
      </c>
      <c r="V36" s="173">
        <f>SUM(V37:V39)</f>
        <v>62107445</v>
      </c>
      <c r="W36" s="173">
        <f t="shared" si="5"/>
        <v>227538065</v>
      </c>
      <c r="X36" s="166">
        <f>W36/H36*100</f>
        <v>9.0773232550065988</v>
      </c>
      <c r="Y36" s="169">
        <f>H36-W36</f>
        <v>2279126715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41460500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0.35233349123881297</v>
      </c>
      <c r="Q37" s="24">
        <v>36</v>
      </c>
      <c r="R37" s="24">
        <v>25</v>
      </c>
      <c r="S37" s="24">
        <f>Q37+R37</f>
        <v>61</v>
      </c>
      <c r="T37" s="270">
        <f t="shared" si="3"/>
        <v>0.2149234296556759</v>
      </c>
      <c r="U37" s="32">
        <v>15279000</v>
      </c>
      <c r="V37" s="26">
        <f>9807445</f>
        <v>9807445</v>
      </c>
      <c r="W37" s="26">
        <f>U37+V37</f>
        <v>25086445</v>
      </c>
      <c r="X37" s="24">
        <f>W37/H37*100</f>
        <v>60.506855923107537</v>
      </c>
      <c r="Y37" s="28">
        <f>H37-W37</f>
        <v>16374055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2.3066092994529379E-2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2462490000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20.926368443233066</v>
      </c>
      <c r="Q39" s="24">
        <v>6</v>
      </c>
      <c r="R39" s="24">
        <v>3</v>
      </c>
      <c r="S39" s="24">
        <f t="shared" si="2"/>
        <v>9</v>
      </c>
      <c r="T39" s="270">
        <f t="shared" si="3"/>
        <v>1.883373159890976</v>
      </c>
      <c r="U39" s="32">
        <v>150151620</v>
      </c>
      <c r="V39" s="26">
        <f>36400000+15900000</f>
        <v>52300000</v>
      </c>
      <c r="W39" s="26">
        <f t="shared" si="5"/>
        <v>202451620</v>
      </c>
      <c r="X39" s="24">
        <f>W39/H39*100</f>
        <v>8.2214189702293208</v>
      </c>
      <c r="Y39" s="28">
        <f t="shared" si="1"/>
        <v>2260038380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1.119811276865645</v>
      </c>
      <c r="Q40" s="166">
        <v>54</v>
      </c>
      <c r="R40" s="166">
        <f>SUM(R41:R42)/2</f>
        <v>9</v>
      </c>
      <c r="S40" s="166">
        <f>Q40+R40</f>
        <v>63</v>
      </c>
      <c r="T40" s="269">
        <f t="shared" si="3"/>
        <v>0.70548110442535628</v>
      </c>
      <c r="U40" s="168">
        <v>27816900</v>
      </c>
      <c r="V40" s="173">
        <f>SUM(V41:V42)</f>
        <v>20890000</v>
      </c>
      <c r="W40" s="173">
        <f t="shared" si="5"/>
        <v>48706900</v>
      </c>
      <c r="X40" s="166">
        <f t="shared" si="4"/>
        <v>36.962815512092959</v>
      </c>
      <c r="Y40" s="169">
        <f t="shared" si="1"/>
        <v>83065800.010000005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0.11016352187856379</v>
      </c>
      <c r="Q41" s="24">
        <v>95</v>
      </c>
      <c r="R41" s="24">
        <v>0</v>
      </c>
      <c r="S41" s="24">
        <f>Q41+R41</f>
        <v>95</v>
      </c>
      <c r="T41" s="270">
        <f t="shared" si="3"/>
        <v>0.10465534578463559</v>
      </c>
      <c r="U41" s="32">
        <v>12354900</v>
      </c>
      <c r="V41" s="26">
        <v>0</v>
      </c>
      <c r="W41" s="26">
        <f t="shared" si="5"/>
        <v>12354900</v>
      </c>
      <c r="X41" s="24">
        <f t="shared" si="4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1.009647754987081</v>
      </c>
      <c r="Q42" s="24">
        <v>13</v>
      </c>
      <c r="R42" s="24">
        <v>18</v>
      </c>
      <c r="S42" s="24">
        <f>Q42+R42</f>
        <v>31</v>
      </c>
      <c r="T42" s="270">
        <f t="shared" si="3"/>
        <v>0.31299080404599511</v>
      </c>
      <c r="U42" s="32">
        <v>15462000</v>
      </c>
      <c r="V42" s="26">
        <f>20890000</f>
        <v>20890000</v>
      </c>
      <c r="W42" s="26">
        <f t="shared" si="5"/>
        <v>36352000</v>
      </c>
      <c r="X42" s="24">
        <f t="shared" si="4"/>
        <v>30.596927522054983</v>
      </c>
      <c r="Y42" s="28">
        <f t="shared" si="1"/>
        <v>82457315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3.7986293118449949E-2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3.7986293118449949E-2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>
        <v>0</v>
      </c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621395808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5.2806539832805468</v>
      </c>
      <c r="Q45" s="187">
        <v>5.166666666666667</v>
      </c>
      <c r="R45" s="187">
        <f>(R46+R50)/2</f>
        <v>3</v>
      </c>
      <c r="S45" s="187">
        <f t="shared" si="2"/>
        <v>8.1666666666666679</v>
      </c>
      <c r="T45" s="268">
        <f t="shared" si="3"/>
        <v>0.43125340863457806</v>
      </c>
      <c r="U45" s="188">
        <v>117762437</v>
      </c>
      <c r="V45" s="189">
        <f>V46+V50</f>
        <v>73405000</v>
      </c>
      <c r="W45" s="189">
        <f t="shared" si="5"/>
        <v>191167437</v>
      </c>
      <c r="X45" s="187">
        <f t="shared" si="4"/>
        <v>30.764198042353065</v>
      </c>
      <c r="Y45" s="190">
        <f t="shared" si="1"/>
        <v>430228371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563318405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4.787109183746689</v>
      </c>
      <c r="Q46" s="166">
        <v>9.3333333333333339</v>
      </c>
      <c r="R46" s="166">
        <f>SUM(R47:R49)/3</f>
        <v>6</v>
      </c>
      <c r="S46" s="166">
        <f t="shared" si="2"/>
        <v>15.333333333333334</v>
      </c>
      <c r="T46" s="269">
        <f t="shared" si="3"/>
        <v>0.7340234081744923</v>
      </c>
      <c r="U46" s="168">
        <v>117762437</v>
      </c>
      <c r="V46" s="173">
        <f>SUM(V47:V49)</f>
        <v>73405000</v>
      </c>
      <c r="W46" s="173">
        <f t="shared" si="5"/>
        <v>191167437</v>
      </c>
      <c r="X46" s="166">
        <f t="shared" si="4"/>
        <v>33.935947290768887</v>
      </c>
      <c r="Y46" s="169">
        <f t="shared" si="1"/>
        <v>372150968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443969600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3.7728768146042451</v>
      </c>
      <c r="Q47" s="24">
        <v>26</v>
      </c>
      <c r="R47" s="24">
        <v>18</v>
      </c>
      <c r="S47" s="24">
        <f t="shared" si="2"/>
        <v>44</v>
      </c>
      <c r="T47" s="270">
        <f t="shared" si="3"/>
        <v>1.6600657984258678</v>
      </c>
      <c r="U47" s="26">
        <v>117762437</v>
      </c>
      <c r="V47" s="26">
        <f>52450000+20955000</f>
        <v>73405000</v>
      </c>
      <c r="W47" s="26">
        <f t="shared" si="5"/>
        <v>191167437</v>
      </c>
      <c r="X47" s="24">
        <f t="shared" si="4"/>
        <v>43.058677215737298</v>
      </c>
      <c r="Y47" s="28">
        <f t="shared" si="1"/>
        <v>252802163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57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7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1.014232369142444</v>
      </c>
      <c r="Q49" s="24">
        <v>0</v>
      </c>
      <c r="R49" s="24">
        <v>0</v>
      </c>
      <c r="S49" s="24">
        <f t="shared" si="2"/>
        <v>0</v>
      </c>
      <c r="T49" s="270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58077403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0.49354479953385777</v>
      </c>
      <c r="Q50" s="166">
        <v>0</v>
      </c>
      <c r="R50" s="166">
        <f>R51</f>
        <v>0</v>
      </c>
      <c r="S50" s="166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58077403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58077403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0.49354479953385777</v>
      </c>
      <c r="Q51" s="24">
        <v>0</v>
      </c>
      <c r="R51" s="24">
        <v>0</v>
      </c>
      <c r="S51" s="24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58077403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115">
        <f>H15+H35+H45</f>
        <v>11767402484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25.38851851851852</v>
      </c>
      <c r="R52" s="120">
        <f>R14</f>
        <v>5.3925925925925924</v>
      </c>
      <c r="S52" s="120">
        <f>S14</f>
        <v>30.781111111111112</v>
      </c>
      <c r="T52" s="120">
        <f>T14</f>
        <v>30.781111111111112</v>
      </c>
      <c r="U52" s="121">
        <v>2839248072</v>
      </c>
      <c r="V52" s="121">
        <f>V15+V35+V45</f>
        <v>1585876996</v>
      </c>
      <c r="W52" s="121">
        <f t="shared" si="5"/>
        <v>4425125068</v>
      </c>
      <c r="X52" s="122">
        <f t="shared" si="4"/>
        <v>37.604943606006429</v>
      </c>
      <c r="Y52" s="123">
        <f t="shared" si="1"/>
        <v>7342277416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V55" s="72" t="s">
        <v>135</v>
      </c>
    </row>
    <row r="56" spans="1:26" s="72" customFormat="1" ht="12.95" customHeight="1" x14ac:dyDescent="0.45">
      <c r="H56" s="73"/>
      <c r="I56" s="73"/>
      <c r="T56" s="284"/>
      <c r="V56" s="285"/>
      <c r="W56" s="285"/>
      <c r="X56" s="284"/>
      <c r="Y56" s="286"/>
    </row>
    <row r="57" spans="1:26" s="72" customFormat="1" ht="12.95" customHeight="1" x14ac:dyDescent="0.45">
      <c r="I57" s="73"/>
      <c r="O57" s="371"/>
      <c r="P57" s="371"/>
      <c r="V57" s="72" t="s">
        <v>88</v>
      </c>
    </row>
    <row r="58" spans="1:26" s="72" customFormat="1" ht="12.95" customHeight="1" x14ac:dyDescent="0.45">
      <c r="I58" s="73"/>
      <c r="V58" s="72" t="s">
        <v>27</v>
      </c>
    </row>
    <row r="59" spans="1:26" s="72" customFormat="1" ht="12.95" customHeight="1" x14ac:dyDescent="0.45">
      <c r="I59" s="73"/>
    </row>
    <row r="60" spans="1:26" s="72" customFormat="1" ht="12.95" customHeight="1" x14ac:dyDescent="0.45">
      <c r="I60" s="73"/>
      <c r="V60" s="284"/>
      <c r="W60" s="285"/>
      <c r="X60" s="284"/>
      <c r="Y60" s="287"/>
    </row>
    <row r="61" spans="1:26" s="72" customFormat="1" ht="12.95" customHeight="1" x14ac:dyDescent="0.45">
      <c r="I61" s="73"/>
      <c r="V61" s="284"/>
      <c r="W61" s="285"/>
      <c r="X61" s="284"/>
      <c r="Y61" s="284"/>
    </row>
    <row r="62" spans="1:26" s="72" customFormat="1" ht="12.95" customHeight="1" x14ac:dyDescent="0.45">
      <c r="I62" s="73"/>
      <c r="V62" s="284"/>
      <c r="W62" s="285"/>
      <c r="X62" s="284"/>
      <c r="Y62" s="284"/>
    </row>
    <row r="63" spans="1:26" s="72" customFormat="1" ht="12.95" customHeight="1" x14ac:dyDescent="0.45">
      <c r="I63" s="73"/>
      <c r="V63" s="72" t="s">
        <v>89</v>
      </c>
    </row>
    <row r="64" spans="1:26" s="72" customFormat="1" ht="12.95" customHeight="1" x14ac:dyDescent="0.45">
      <c r="I64" s="73"/>
      <c r="V64" s="72" t="s">
        <v>63</v>
      </c>
    </row>
    <row r="65" spans="9:25" s="72" customFormat="1" ht="12.95" customHeight="1" x14ac:dyDescent="0.45">
      <c r="I65" s="73"/>
      <c r="V65" s="72" t="s">
        <v>90</v>
      </c>
    </row>
    <row r="66" spans="9:25" s="72" customFormat="1" ht="15" x14ac:dyDescent="0.45">
      <c r="T66" s="284"/>
      <c r="U66" s="284"/>
      <c r="V66" s="284"/>
      <c r="W66" s="284"/>
      <c r="X66" s="284"/>
      <c r="Y66" s="284"/>
    </row>
    <row r="67" spans="9:25" s="72" customFormat="1" ht="15" x14ac:dyDescent="0.45"/>
  </sheetData>
  <mergeCells count="31">
    <mergeCell ref="Y8:Y11"/>
    <mergeCell ref="A12:E12"/>
    <mergeCell ref="F52:G52"/>
    <mergeCell ref="O57:P57"/>
    <mergeCell ref="K10:K11"/>
    <mergeCell ref="W10:X10"/>
    <mergeCell ref="Q9:T9"/>
    <mergeCell ref="U9:X9"/>
    <mergeCell ref="J10:J11"/>
    <mergeCell ref="L8:L11"/>
    <mergeCell ref="M8:M11"/>
    <mergeCell ref="N8:N11"/>
    <mergeCell ref="O8:O11"/>
    <mergeCell ref="P8:P11"/>
    <mergeCell ref="Q8:X8"/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Z8:Z11"/>
    <mergeCell ref="A9:A11"/>
    <mergeCell ref="B9:B11"/>
    <mergeCell ref="C9:C11"/>
    <mergeCell ref="D9:D11"/>
    <mergeCell ref="E9:E11"/>
  </mergeCells>
  <pageMargins left="0.12" right="0.15748031496062992" top="0.27559055118110237" bottom="0.12" header="0.31496062992125984" footer="0.11811023622047245"/>
  <pageSetup paperSize="9" scale="6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67"/>
  <sheetViews>
    <sheetView topLeftCell="A45" zoomScaleNormal="100" workbookViewId="0">
      <selection activeCell="T58" sqref="T58"/>
    </sheetView>
  </sheetViews>
  <sheetFormatPr defaultColWidth="9.1328125" defaultRowHeight="13.5" x14ac:dyDescent="0.45"/>
  <cols>
    <col min="1" max="1" width="2.73046875" style="1" customWidth="1"/>
    <col min="2" max="3" width="3" style="1" customWidth="1"/>
    <col min="4" max="4" width="4.59765625" style="1" customWidth="1"/>
    <col min="5" max="5" width="3.265625" style="1" customWidth="1"/>
    <col min="6" max="6" width="36" style="1" customWidth="1"/>
    <col min="7" max="7" width="10" style="1" customWidth="1"/>
    <col min="8" max="8" width="17.59765625" style="1" customWidth="1"/>
    <col min="9" max="9" width="10.1328125" style="1" customWidth="1"/>
    <col min="10" max="10" width="9.1328125" style="1" hidden="1" customWidth="1"/>
    <col min="11" max="11" width="9.73046875" style="1" hidden="1" customWidth="1"/>
    <col min="12" max="12" width="7.86328125" style="1" hidden="1" customWidth="1"/>
    <col min="13" max="13" width="5.73046875" style="1" hidden="1" customWidth="1"/>
    <col min="14" max="14" width="9.1328125" style="1" hidden="1" customWidth="1"/>
    <col min="15" max="15" width="8.1328125" style="1" hidden="1" customWidth="1"/>
    <col min="16" max="16" width="7.59765625" style="1" customWidth="1"/>
    <col min="17" max="17" width="7.265625" style="1" customWidth="1"/>
    <col min="18" max="18" width="7.1328125" style="1" customWidth="1"/>
    <col min="19" max="20" width="7.86328125" style="1" customWidth="1"/>
    <col min="21" max="21" width="14" style="1" customWidth="1"/>
    <col min="22" max="22" width="14.1328125" style="1" customWidth="1"/>
    <col min="23" max="23" width="15" style="1" customWidth="1"/>
    <col min="24" max="24" width="6.73046875" style="1" customWidth="1"/>
    <col min="25" max="25" width="15.86328125" style="1" customWidth="1"/>
    <col min="26" max="26" width="4.265625" style="1" customWidth="1"/>
    <col min="27" max="16384" width="9.1328125" style="1"/>
  </cols>
  <sheetData>
    <row r="1" spans="1:26" s="66" customFormat="1" ht="15.95" customHeight="1" x14ac:dyDescent="0.45">
      <c r="A1" s="340" t="s">
        <v>91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</row>
    <row r="2" spans="1:26" s="66" customFormat="1" ht="15.95" customHeight="1" x14ac:dyDescent="0.45">
      <c r="A2" s="340" t="s">
        <v>28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</row>
    <row r="3" spans="1:26" s="66" customFormat="1" ht="15.95" customHeight="1" x14ac:dyDescent="0.45">
      <c r="A3" s="340" t="s">
        <v>117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</row>
    <row r="4" spans="1:26" s="66" customFormat="1" ht="15.95" customHeight="1" x14ac:dyDescent="0.4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72" customFormat="1" ht="15" customHeight="1" x14ac:dyDescent="0.45">
      <c r="A5" s="68" t="s">
        <v>58</v>
      </c>
      <c r="B5" s="68"/>
      <c r="C5" s="68"/>
      <c r="D5" s="68"/>
      <c r="E5" s="68" t="s">
        <v>60</v>
      </c>
      <c r="F5" s="69" t="s">
        <v>74</v>
      </c>
      <c r="G5" s="70"/>
      <c r="H5" s="70"/>
      <c r="I5" s="71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0"/>
      <c r="Y5" s="70"/>
      <c r="Z5" s="70"/>
    </row>
    <row r="6" spans="1:26" s="72" customFormat="1" ht="15" customHeight="1" x14ac:dyDescent="0.45">
      <c r="A6" s="68" t="s">
        <v>59</v>
      </c>
      <c r="B6" s="68"/>
      <c r="C6" s="68"/>
      <c r="D6" s="68"/>
      <c r="E6" s="68" t="s">
        <v>60</v>
      </c>
      <c r="F6" s="69" t="s">
        <v>137</v>
      </c>
      <c r="G6" s="70"/>
      <c r="H6" s="70"/>
      <c r="I6" s="71"/>
      <c r="J6" s="70"/>
      <c r="K6" s="70"/>
      <c r="L6" s="70"/>
      <c r="M6" s="70"/>
      <c r="N6" s="70"/>
      <c r="O6" s="70"/>
      <c r="U6" s="73"/>
      <c r="V6" s="73"/>
      <c r="W6" s="73"/>
      <c r="X6" s="341"/>
      <c r="Y6" s="341"/>
      <c r="Z6" s="341"/>
    </row>
    <row r="7" spans="1:26" s="72" customFormat="1" ht="15" customHeight="1" x14ac:dyDescent="0.45">
      <c r="A7" s="68"/>
      <c r="B7" s="68"/>
      <c r="C7" s="68"/>
      <c r="D7" s="68"/>
      <c r="E7" s="68"/>
      <c r="F7" s="69"/>
      <c r="G7" s="70"/>
      <c r="H7" s="70"/>
      <c r="I7" s="71"/>
      <c r="J7" s="70"/>
      <c r="K7" s="70"/>
      <c r="L7" s="70"/>
      <c r="M7" s="70"/>
      <c r="N7" s="70"/>
      <c r="O7" s="70"/>
      <c r="U7" s="73"/>
      <c r="V7" s="73"/>
      <c r="W7" s="73"/>
      <c r="X7" s="208"/>
      <c r="Y7" s="208"/>
      <c r="Z7" s="208"/>
    </row>
    <row r="8" spans="1:26" ht="21" customHeight="1" x14ac:dyDescent="0.45">
      <c r="A8" s="342" t="s">
        <v>47</v>
      </c>
      <c r="B8" s="343"/>
      <c r="C8" s="343"/>
      <c r="D8" s="343"/>
      <c r="E8" s="344"/>
      <c r="F8" s="355" t="s">
        <v>66</v>
      </c>
      <c r="G8" s="345" t="s">
        <v>1</v>
      </c>
      <c r="H8" s="345" t="s">
        <v>2</v>
      </c>
      <c r="I8" s="348" t="s">
        <v>3</v>
      </c>
      <c r="J8" s="351" t="s">
        <v>4</v>
      </c>
      <c r="K8" s="352"/>
      <c r="L8" s="355" t="s">
        <v>7</v>
      </c>
      <c r="M8" s="355" t="s">
        <v>8</v>
      </c>
      <c r="N8" s="355" t="s">
        <v>26</v>
      </c>
      <c r="O8" s="355" t="s">
        <v>62</v>
      </c>
      <c r="P8" s="355" t="s">
        <v>67</v>
      </c>
      <c r="Q8" s="342" t="s">
        <v>0</v>
      </c>
      <c r="R8" s="343"/>
      <c r="S8" s="343"/>
      <c r="T8" s="343"/>
      <c r="U8" s="343"/>
      <c r="V8" s="343"/>
      <c r="W8" s="343"/>
      <c r="X8" s="344"/>
      <c r="Y8" s="355" t="s">
        <v>61</v>
      </c>
      <c r="Z8" s="345" t="s">
        <v>12</v>
      </c>
    </row>
    <row r="9" spans="1:26" ht="21" customHeight="1" x14ac:dyDescent="0.45">
      <c r="A9" s="358" t="s">
        <v>37</v>
      </c>
      <c r="B9" s="358" t="s">
        <v>38</v>
      </c>
      <c r="C9" s="358" t="s">
        <v>39</v>
      </c>
      <c r="D9" s="358" t="s">
        <v>40</v>
      </c>
      <c r="E9" s="358" t="s">
        <v>41</v>
      </c>
      <c r="F9" s="356"/>
      <c r="G9" s="346"/>
      <c r="H9" s="346"/>
      <c r="I9" s="349"/>
      <c r="J9" s="353"/>
      <c r="K9" s="354"/>
      <c r="L9" s="356"/>
      <c r="M9" s="356"/>
      <c r="N9" s="356"/>
      <c r="O9" s="356"/>
      <c r="P9" s="356"/>
      <c r="Q9" s="361" t="s">
        <v>10</v>
      </c>
      <c r="R9" s="362"/>
      <c r="S9" s="362"/>
      <c r="T9" s="363"/>
      <c r="U9" s="364" t="s">
        <v>11</v>
      </c>
      <c r="V9" s="364"/>
      <c r="W9" s="364"/>
      <c r="X9" s="364"/>
      <c r="Y9" s="356"/>
      <c r="Z9" s="346"/>
    </row>
    <row r="10" spans="1:26" ht="45.75" customHeight="1" x14ac:dyDescent="0.45">
      <c r="A10" s="359"/>
      <c r="B10" s="359"/>
      <c r="C10" s="359"/>
      <c r="D10" s="359"/>
      <c r="E10" s="359"/>
      <c r="F10" s="356"/>
      <c r="G10" s="346"/>
      <c r="H10" s="346"/>
      <c r="I10" s="349"/>
      <c r="J10" s="345" t="s">
        <v>5</v>
      </c>
      <c r="K10" s="345" t="s">
        <v>6</v>
      </c>
      <c r="L10" s="356"/>
      <c r="M10" s="356"/>
      <c r="N10" s="356"/>
      <c r="O10" s="356"/>
      <c r="P10" s="356"/>
      <c r="Q10" s="74" t="s">
        <v>19</v>
      </c>
      <c r="R10" s="74" t="s">
        <v>21</v>
      </c>
      <c r="S10" s="74" t="s">
        <v>25</v>
      </c>
      <c r="T10" s="74" t="s">
        <v>9</v>
      </c>
      <c r="U10" s="82" t="s">
        <v>22</v>
      </c>
      <c r="V10" s="82" t="s">
        <v>21</v>
      </c>
      <c r="W10" s="351" t="s">
        <v>25</v>
      </c>
      <c r="X10" s="352"/>
      <c r="Y10" s="356"/>
      <c r="Z10" s="346"/>
    </row>
    <row r="11" spans="1:26" x14ac:dyDescent="0.45">
      <c r="A11" s="360"/>
      <c r="B11" s="360"/>
      <c r="C11" s="360"/>
      <c r="D11" s="360"/>
      <c r="E11" s="360"/>
      <c r="F11" s="357"/>
      <c r="G11" s="347"/>
      <c r="H11" s="347"/>
      <c r="I11" s="350"/>
      <c r="J11" s="347"/>
      <c r="K11" s="347"/>
      <c r="L11" s="357"/>
      <c r="M11" s="357"/>
      <c r="N11" s="357"/>
      <c r="O11" s="357"/>
      <c r="P11" s="357"/>
      <c r="Q11" s="2" t="s">
        <v>18</v>
      </c>
      <c r="R11" s="2" t="s">
        <v>20</v>
      </c>
      <c r="S11" s="2" t="s">
        <v>18</v>
      </c>
      <c r="T11" s="2" t="s">
        <v>18</v>
      </c>
      <c r="U11" s="3" t="s">
        <v>24</v>
      </c>
      <c r="V11" s="3" t="s">
        <v>23</v>
      </c>
      <c r="W11" s="4" t="s">
        <v>23</v>
      </c>
      <c r="X11" s="5" t="s">
        <v>18</v>
      </c>
      <c r="Y11" s="357"/>
      <c r="Z11" s="347"/>
    </row>
    <row r="12" spans="1:26" s="76" customFormat="1" ht="6.75" customHeight="1" x14ac:dyDescent="0.45">
      <c r="A12" s="365">
        <v>1</v>
      </c>
      <c r="B12" s="366"/>
      <c r="C12" s="366"/>
      <c r="D12" s="366"/>
      <c r="E12" s="367"/>
      <c r="F12" s="77">
        <v>2</v>
      </c>
      <c r="G12" s="78">
        <v>3</v>
      </c>
      <c r="H12" s="78">
        <v>4</v>
      </c>
      <c r="I12" s="79">
        <v>5</v>
      </c>
      <c r="J12" s="78">
        <v>6</v>
      </c>
      <c r="K12" s="78">
        <v>7</v>
      </c>
      <c r="L12" s="78">
        <v>8</v>
      </c>
      <c r="M12" s="78">
        <v>9</v>
      </c>
      <c r="N12" s="78">
        <v>10</v>
      </c>
      <c r="O12" s="78">
        <v>11</v>
      </c>
      <c r="P12" s="80">
        <v>12</v>
      </c>
      <c r="Q12" s="80">
        <v>13</v>
      </c>
      <c r="R12" s="80">
        <v>14</v>
      </c>
      <c r="S12" s="80" t="s">
        <v>13</v>
      </c>
      <c r="T12" s="78" t="s">
        <v>15</v>
      </c>
      <c r="U12" s="81">
        <v>17</v>
      </c>
      <c r="V12" s="81">
        <v>18</v>
      </c>
      <c r="W12" s="81" t="s">
        <v>14</v>
      </c>
      <c r="X12" s="80">
        <v>20</v>
      </c>
      <c r="Y12" s="80">
        <v>21</v>
      </c>
      <c r="Z12" s="80">
        <v>22</v>
      </c>
    </row>
    <row r="13" spans="1:26" ht="39.75" customHeight="1" x14ac:dyDescent="0.45">
      <c r="A13" s="6">
        <v>1</v>
      </c>
      <c r="B13" s="7"/>
      <c r="C13" s="7"/>
      <c r="D13" s="7"/>
      <c r="E13" s="7"/>
      <c r="F13" s="8" t="s">
        <v>70</v>
      </c>
      <c r="G13" s="9" t="s">
        <v>75</v>
      </c>
      <c r="H13" s="10">
        <f>H14</f>
        <v>11767402484</v>
      </c>
      <c r="I13" s="4"/>
      <c r="J13" s="5"/>
      <c r="K13" s="5"/>
      <c r="L13" s="5"/>
      <c r="M13" s="5"/>
      <c r="N13" s="5"/>
      <c r="O13" s="5"/>
      <c r="P13" s="11">
        <f>H13/H52*100</f>
        <v>100</v>
      </c>
      <c r="Q13" s="12"/>
      <c r="R13" s="12"/>
      <c r="S13" s="12"/>
      <c r="T13" s="5"/>
      <c r="U13" s="13"/>
      <c r="V13" s="13"/>
      <c r="W13" s="13"/>
      <c r="X13" s="12"/>
      <c r="Y13" s="14"/>
      <c r="Z13" s="12"/>
    </row>
    <row r="14" spans="1:26" ht="53.25" customHeight="1" x14ac:dyDescent="0.45">
      <c r="A14" s="124">
        <v>1</v>
      </c>
      <c r="B14" s="207" t="s">
        <v>72</v>
      </c>
      <c r="C14" s="126"/>
      <c r="D14" s="126"/>
      <c r="E14" s="126"/>
      <c r="F14" s="127" t="s">
        <v>71</v>
      </c>
      <c r="G14" s="128" t="s">
        <v>75</v>
      </c>
      <c r="H14" s="129">
        <f>H15+H35+H45</f>
        <v>11767402484</v>
      </c>
      <c r="I14" s="130"/>
      <c r="J14" s="131"/>
      <c r="K14" s="131"/>
      <c r="L14" s="131"/>
      <c r="M14" s="131"/>
      <c r="N14" s="131"/>
      <c r="O14" s="131"/>
      <c r="P14" s="132">
        <f>H14/H52*100</f>
        <v>100</v>
      </c>
      <c r="Q14" s="133">
        <v>30.781111111111112</v>
      </c>
      <c r="R14" s="133">
        <f>(R15+R35+R45)/3</f>
        <v>4.8111111111111109</v>
      </c>
      <c r="S14" s="133">
        <f>Q14+R14</f>
        <v>35.592222222222226</v>
      </c>
      <c r="T14" s="275">
        <f>(P14*S14)/100</f>
        <v>35.592222222222226</v>
      </c>
      <c r="U14" s="283">
        <v>4425125068</v>
      </c>
      <c r="V14" s="88">
        <f>V15+V35+V45</f>
        <v>771105539</v>
      </c>
      <c r="W14" s="88">
        <f t="shared" ref="W14" si="0">U14+V14</f>
        <v>5196230607</v>
      </c>
      <c r="X14" s="135">
        <f>W14/H14*100</f>
        <v>44.15783869095371</v>
      </c>
      <c r="Y14" s="136">
        <f t="shared" ref="Y14:Y52" si="1">H14-W14</f>
        <v>6571171877</v>
      </c>
      <c r="Z14" s="87"/>
    </row>
    <row r="15" spans="1:26" ht="39.75" customHeight="1" x14ac:dyDescent="0.45">
      <c r="A15" s="175">
        <v>1</v>
      </c>
      <c r="B15" s="176" t="s">
        <v>72</v>
      </c>
      <c r="C15" s="192">
        <v>1</v>
      </c>
      <c r="D15" s="193"/>
      <c r="E15" s="193"/>
      <c r="F15" s="179" t="s">
        <v>29</v>
      </c>
      <c r="G15" s="180" t="s">
        <v>75</v>
      </c>
      <c r="H15" s="277">
        <f>H16+H19+H21+H28+H31</f>
        <v>8503099195.9899998</v>
      </c>
      <c r="I15" s="181"/>
      <c r="J15" s="180" t="s">
        <v>16</v>
      </c>
      <c r="K15" s="180" t="s">
        <v>17</v>
      </c>
      <c r="L15" s="185"/>
      <c r="M15" s="180"/>
      <c r="N15" s="184"/>
      <c r="O15" s="185"/>
      <c r="P15" s="186">
        <f>H15/H52*100</f>
        <v>72.259780419268949</v>
      </c>
      <c r="Q15" s="187">
        <v>61.333333333333329</v>
      </c>
      <c r="R15" s="187">
        <f>(R16+R19+R21+R28+R31)/5</f>
        <v>7.6</v>
      </c>
      <c r="S15" s="187">
        <f t="shared" ref="S15:S51" si="2">Q15+R15</f>
        <v>68.933333333333323</v>
      </c>
      <c r="T15" s="268">
        <f t="shared" ref="T15:T51" si="3">(P15*S15)/100</f>
        <v>49.811075302349394</v>
      </c>
      <c r="U15" s="282">
        <v>3957712666</v>
      </c>
      <c r="V15" s="188">
        <f>V16+V19+V21+V28+V31</f>
        <v>665140539</v>
      </c>
      <c r="W15" s="189">
        <f>U15+V15</f>
        <v>4622853205</v>
      </c>
      <c r="X15" s="187">
        <f t="shared" ref="X15:X52" si="4">W15/H15*100</f>
        <v>54.366685586593</v>
      </c>
      <c r="Y15" s="190">
        <f t="shared" si="1"/>
        <v>3880245990.9899998</v>
      </c>
      <c r="Z15" s="195"/>
    </row>
    <row r="16" spans="1:26" ht="29.25" customHeight="1" x14ac:dyDescent="0.45">
      <c r="A16" s="154">
        <v>1</v>
      </c>
      <c r="B16" s="155" t="s">
        <v>72</v>
      </c>
      <c r="C16" s="156">
        <v>1</v>
      </c>
      <c r="D16" s="157" t="s">
        <v>42</v>
      </c>
      <c r="E16" s="158"/>
      <c r="F16" s="199" t="s">
        <v>56</v>
      </c>
      <c r="G16" s="160" t="s">
        <v>75</v>
      </c>
      <c r="H16" s="161">
        <f>SUM(H17:H18)</f>
        <v>19880009</v>
      </c>
      <c r="I16" s="162"/>
      <c r="J16" s="160" t="s">
        <v>16</v>
      </c>
      <c r="K16" s="160" t="s">
        <v>17</v>
      </c>
      <c r="L16" s="172"/>
      <c r="M16" s="160"/>
      <c r="N16" s="165"/>
      <c r="O16" s="172"/>
      <c r="P16" s="167">
        <f>H16/H52*100</f>
        <v>0.16894135325982618</v>
      </c>
      <c r="Q16" s="166">
        <v>27</v>
      </c>
      <c r="R16" s="166">
        <f>SUM(R17:R18)/2</f>
        <v>0</v>
      </c>
      <c r="S16" s="166">
        <f t="shared" si="2"/>
        <v>27</v>
      </c>
      <c r="T16" s="269">
        <f t="shared" si="3"/>
        <v>4.5614165380153067E-2</v>
      </c>
      <c r="U16" s="168">
        <v>7174000</v>
      </c>
      <c r="V16" s="168">
        <f>SUM(V17:V18)</f>
        <v>0</v>
      </c>
      <c r="W16" s="173">
        <f t="shared" ref="W16:W52" si="5">U16+V16</f>
        <v>7174000</v>
      </c>
      <c r="X16" s="166">
        <f t="shared" si="4"/>
        <v>36.086502777740193</v>
      </c>
      <c r="Y16" s="169">
        <f t="shared" si="1"/>
        <v>12706009</v>
      </c>
      <c r="Z16" s="170"/>
    </row>
    <row r="17" spans="1:26" ht="28.5" customHeight="1" x14ac:dyDescent="0.45">
      <c r="A17" s="6">
        <v>1</v>
      </c>
      <c r="B17" s="15" t="s">
        <v>72</v>
      </c>
      <c r="C17" s="16">
        <v>1</v>
      </c>
      <c r="D17" s="7" t="s">
        <v>42</v>
      </c>
      <c r="E17" s="16">
        <v>1</v>
      </c>
      <c r="F17" s="17" t="s">
        <v>73</v>
      </c>
      <c r="G17" s="9" t="s">
        <v>75</v>
      </c>
      <c r="H17" s="18">
        <v>13370000</v>
      </c>
      <c r="I17" s="19" t="s">
        <v>68</v>
      </c>
      <c r="J17" s="20" t="s">
        <v>16</v>
      </c>
      <c r="K17" s="20" t="s">
        <v>17</v>
      </c>
      <c r="L17" s="21"/>
      <c r="M17" s="22"/>
      <c r="N17" s="23"/>
      <c r="O17" s="24"/>
      <c r="P17" s="25">
        <f>H17/H52*100</f>
        <v>0.1136189572692787</v>
      </c>
      <c r="Q17" s="24">
        <v>54</v>
      </c>
      <c r="R17" s="24">
        <v>0</v>
      </c>
      <c r="S17" s="24">
        <f t="shared" si="2"/>
        <v>54</v>
      </c>
      <c r="T17" s="270">
        <f t="shared" si="3"/>
        <v>6.1354236925410498E-2</v>
      </c>
      <c r="U17" s="26">
        <v>7174000</v>
      </c>
      <c r="V17" s="26">
        <v>0</v>
      </c>
      <c r="W17" s="27">
        <f t="shared" si="5"/>
        <v>7174000</v>
      </c>
      <c r="X17" s="24">
        <f t="shared" si="4"/>
        <v>53.657442034405392</v>
      </c>
      <c r="Y17" s="28">
        <f t="shared" si="1"/>
        <v>6196000</v>
      </c>
      <c r="Z17" s="29"/>
    </row>
    <row r="18" spans="1:26" ht="41.25" customHeight="1" x14ac:dyDescent="0.45">
      <c r="A18" s="6">
        <v>1</v>
      </c>
      <c r="B18" s="15" t="s">
        <v>72</v>
      </c>
      <c r="C18" s="16">
        <v>2</v>
      </c>
      <c r="D18" s="7" t="s">
        <v>43</v>
      </c>
      <c r="E18" s="16">
        <v>6</v>
      </c>
      <c r="F18" s="17" t="s">
        <v>55</v>
      </c>
      <c r="G18" s="9" t="s">
        <v>75</v>
      </c>
      <c r="H18" s="18">
        <v>6510009</v>
      </c>
      <c r="I18" s="19" t="s">
        <v>68</v>
      </c>
      <c r="J18" s="20" t="s">
        <v>16</v>
      </c>
      <c r="K18" s="20" t="s">
        <v>17</v>
      </c>
      <c r="L18" s="21"/>
      <c r="M18" s="22"/>
      <c r="N18" s="23"/>
      <c r="O18" s="24"/>
      <c r="P18" s="25">
        <f>H18/H52*100</f>
        <v>5.5322395990547467E-2</v>
      </c>
      <c r="Q18" s="24">
        <v>0</v>
      </c>
      <c r="R18" s="24">
        <v>0</v>
      </c>
      <c r="S18" s="24">
        <f>Q18+R18</f>
        <v>0</v>
      </c>
      <c r="T18" s="270">
        <f t="shared" si="3"/>
        <v>0</v>
      </c>
      <c r="U18" s="26">
        <v>0</v>
      </c>
      <c r="V18" s="26">
        <v>0</v>
      </c>
      <c r="W18" s="27">
        <f t="shared" si="5"/>
        <v>0</v>
      </c>
      <c r="X18" s="24">
        <f>W18/H18*100</f>
        <v>0</v>
      </c>
      <c r="Y18" s="28">
        <f>H18-W18</f>
        <v>6510009</v>
      </c>
      <c r="Z18" s="29"/>
    </row>
    <row r="19" spans="1:26" ht="26.25" customHeight="1" x14ac:dyDescent="0.45">
      <c r="A19" s="154">
        <v>1</v>
      </c>
      <c r="B19" s="155" t="s">
        <v>72</v>
      </c>
      <c r="C19" s="156">
        <v>1</v>
      </c>
      <c r="D19" s="157" t="s">
        <v>43</v>
      </c>
      <c r="E19" s="158"/>
      <c r="F19" s="159" t="s">
        <v>30</v>
      </c>
      <c r="G19" s="160" t="s">
        <v>75</v>
      </c>
      <c r="H19" s="161">
        <f>SUM(H20)</f>
        <v>5813744008</v>
      </c>
      <c r="I19" s="162"/>
      <c r="J19" s="160" t="s">
        <v>16</v>
      </c>
      <c r="K19" s="160" t="s">
        <v>17</v>
      </c>
      <c r="L19" s="163"/>
      <c r="M19" s="164"/>
      <c r="N19" s="165"/>
      <c r="O19" s="166"/>
      <c r="P19" s="167">
        <f>H19/H52*100</f>
        <v>49.405499777073828</v>
      </c>
      <c r="Q19" s="166">
        <v>55</v>
      </c>
      <c r="R19" s="166">
        <f>R20</f>
        <v>9</v>
      </c>
      <c r="S19" s="166">
        <f t="shared" si="2"/>
        <v>64</v>
      </c>
      <c r="T19" s="269">
        <f t="shared" si="3"/>
        <v>31.619519857327251</v>
      </c>
      <c r="U19" s="168">
        <v>2731147106</v>
      </c>
      <c r="V19" s="168">
        <f>SUM(V20)</f>
        <v>508835656</v>
      </c>
      <c r="W19" s="168">
        <f t="shared" si="5"/>
        <v>3239982762</v>
      </c>
      <c r="X19" s="166">
        <f t="shared" si="4"/>
        <v>55.729711482680052</v>
      </c>
      <c r="Y19" s="169">
        <f t="shared" si="1"/>
        <v>2573761246</v>
      </c>
      <c r="Z19" s="170"/>
    </row>
    <row r="20" spans="1:26" ht="52.5" customHeight="1" x14ac:dyDescent="0.45">
      <c r="A20" s="6">
        <v>1</v>
      </c>
      <c r="B20" s="15" t="s">
        <v>72</v>
      </c>
      <c r="C20" s="16">
        <v>1</v>
      </c>
      <c r="D20" s="7" t="s">
        <v>43</v>
      </c>
      <c r="E20" s="16">
        <v>1</v>
      </c>
      <c r="F20" s="30" t="s">
        <v>54</v>
      </c>
      <c r="G20" s="9" t="s">
        <v>75</v>
      </c>
      <c r="H20" s="18">
        <v>5813744008</v>
      </c>
      <c r="I20" s="19" t="s">
        <v>69</v>
      </c>
      <c r="J20" s="20" t="s">
        <v>16</v>
      </c>
      <c r="K20" s="20" t="s">
        <v>17</v>
      </c>
      <c r="L20" s="21"/>
      <c r="M20" s="22"/>
      <c r="N20" s="23"/>
      <c r="O20" s="31"/>
      <c r="P20" s="25">
        <f>H20/H52*100</f>
        <v>49.405499777073828</v>
      </c>
      <c r="Q20" s="24">
        <v>47</v>
      </c>
      <c r="R20" s="24">
        <v>9</v>
      </c>
      <c r="S20" s="24">
        <f t="shared" si="2"/>
        <v>56</v>
      </c>
      <c r="T20" s="270">
        <f t="shared" si="3"/>
        <v>27.667079875161345</v>
      </c>
      <c r="U20" s="32">
        <v>2731147106</v>
      </c>
      <c r="V20" s="26">
        <f>508835656</f>
        <v>508835656</v>
      </c>
      <c r="W20" s="26">
        <f t="shared" si="5"/>
        <v>3239982762</v>
      </c>
      <c r="X20" s="24">
        <f t="shared" si="4"/>
        <v>55.729711482680052</v>
      </c>
      <c r="Y20" s="28">
        <f t="shared" si="1"/>
        <v>2573761246</v>
      </c>
      <c r="Z20" s="29"/>
    </row>
    <row r="21" spans="1:26" ht="15" customHeight="1" x14ac:dyDescent="0.45">
      <c r="A21" s="154">
        <v>1</v>
      </c>
      <c r="B21" s="155" t="s">
        <v>72</v>
      </c>
      <c r="C21" s="156">
        <v>1</v>
      </c>
      <c r="D21" s="157" t="s">
        <v>44</v>
      </c>
      <c r="E21" s="158"/>
      <c r="F21" s="159" t="s">
        <v>31</v>
      </c>
      <c r="G21" s="160" t="s">
        <v>75</v>
      </c>
      <c r="H21" s="171">
        <f>SUM(H22:H27)</f>
        <v>192329804.99000001</v>
      </c>
      <c r="I21" s="162"/>
      <c r="J21" s="160" t="s">
        <v>16</v>
      </c>
      <c r="K21" s="160" t="s">
        <v>17</v>
      </c>
      <c r="L21" s="163"/>
      <c r="M21" s="164"/>
      <c r="N21" s="165"/>
      <c r="O21" s="172"/>
      <c r="P21" s="167">
        <f>H21/H52*100</f>
        <v>1.634428713146411</v>
      </c>
      <c r="Q21" s="166">
        <v>20.5</v>
      </c>
      <c r="R21" s="166">
        <f>SUM(R22:R27)/6</f>
        <v>19.5</v>
      </c>
      <c r="S21" s="166">
        <f t="shared" si="2"/>
        <v>40</v>
      </c>
      <c r="T21" s="269">
        <f t="shared" si="3"/>
        <v>0.65377148525856443</v>
      </c>
      <c r="U21" s="168">
        <v>58845484</v>
      </c>
      <c r="V21" s="168">
        <f>SUM(V22:V27)</f>
        <v>48200700</v>
      </c>
      <c r="W21" s="173">
        <f t="shared" si="5"/>
        <v>107046184</v>
      </c>
      <c r="X21" s="166">
        <f>W21/H21*100</f>
        <v>55.657615836279639</v>
      </c>
      <c r="Y21" s="169">
        <f t="shared" si="1"/>
        <v>85283620.99000001</v>
      </c>
      <c r="Z21" s="169"/>
    </row>
    <row r="22" spans="1:26" ht="29.25" customHeight="1" x14ac:dyDescent="0.45">
      <c r="A22" s="6">
        <v>1</v>
      </c>
      <c r="B22" s="15" t="s">
        <v>72</v>
      </c>
      <c r="C22" s="16">
        <v>1</v>
      </c>
      <c r="D22" s="7" t="s">
        <v>44</v>
      </c>
      <c r="E22" s="16">
        <v>1</v>
      </c>
      <c r="F22" s="30" t="s">
        <v>32</v>
      </c>
      <c r="G22" s="9" t="s">
        <v>75</v>
      </c>
      <c r="H22" s="18">
        <v>3868350</v>
      </c>
      <c r="I22" s="19" t="s">
        <v>68</v>
      </c>
      <c r="J22" s="20" t="s">
        <v>16</v>
      </c>
      <c r="K22" s="20" t="s">
        <v>17</v>
      </c>
      <c r="L22" s="21"/>
      <c r="M22" s="22"/>
      <c r="N22" s="23"/>
      <c r="O22" s="31"/>
      <c r="P22" s="25">
        <f>H22/H52*100</f>
        <v>3.2873440041332407E-2</v>
      </c>
      <c r="Q22" s="24">
        <v>25</v>
      </c>
      <c r="R22" s="24">
        <v>25</v>
      </c>
      <c r="S22" s="24">
        <f t="shared" si="2"/>
        <v>50</v>
      </c>
      <c r="T22" s="270">
        <f t="shared" si="3"/>
        <v>1.6436720020666203E-2</v>
      </c>
      <c r="U22" s="32">
        <v>982200</v>
      </c>
      <c r="V22" s="32">
        <f>945200</f>
        <v>945200</v>
      </c>
      <c r="W22" s="26">
        <f t="shared" si="5"/>
        <v>1927400</v>
      </c>
      <c r="X22" s="24">
        <f t="shared" si="4"/>
        <v>49.824860728734471</v>
      </c>
      <c r="Y22" s="28">
        <f t="shared" si="1"/>
        <v>1940950</v>
      </c>
      <c r="Z22" s="29"/>
    </row>
    <row r="23" spans="1:26" ht="27" customHeight="1" x14ac:dyDescent="0.45">
      <c r="A23" s="6">
        <v>1</v>
      </c>
      <c r="B23" s="15" t="s">
        <v>72</v>
      </c>
      <c r="C23" s="16">
        <v>1</v>
      </c>
      <c r="D23" s="7" t="s">
        <v>44</v>
      </c>
      <c r="E23" s="16">
        <v>2</v>
      </c>
      <c r="F23" s="30" t="s">
        <v>53</v>
      </c>
      <c r="G23" s="9" t="s">
        <v>75</v>
      </c>
      <c r="H23" s="18">
        <v>65355725</v>
      </c>
      <c r="I23" s="19" t="s">
        <v>68</v>
      </c>
      <c r="J23" s="20" t="s">
        <v>16</v>
      </c>
      <c r="K23" s="20" t="s">
        <v>17</v>
      </c>
      <c r="L23" s="21"/>
      <c r="M23" s="22"/>
      <c r="N23" s="23"/>
      <c r="O23" s="31"/>
      <c r="P23" s="25">
        <f>H23/H52*100</f>
        <v>0.55539635946729471</v>
      </c>
      <c r="Q23" s="24">
        <v>19</v>
      </c>
      <c r="R23" s="24">
        <v>15</v>
      </c>
      <c r="S23" s="24">
        <f t="shared" si="2"/>
        <v>34</v>
      </c>
      <c r="T23" s="270">
        <f t="shared" si="3"/>
        <v>0.18883476221888021</v>
      </c>
      <c r="U23" s="32">
        <v>12739350</v>
      </c>
      <c r="V23" s="32">
        <f>9271200</f>
        <v>9271200</v>
      </c>
      <c r="W23" s="26">
        <f t="shared" si="5"/>
        <v>22010550</v>
      </c>
      <c r="X23" s="24">
        <f t="shared" si="4"/>
        <v>33.678074874083336</v>
      </c>
      <c r="Y23" s="28">
        <f t="shared" si="1"/>
        <v>43345175</v>
      </c>
      <c r="Z23" s="29"/>
    </row>
    <row r="24" spans="1:26" ht="26.25" customHeight="1" x14ac:dyDescent="0.45">
      <c r="A24" s="6">
        <v>1</v>
      </c>
      <c r="B24" s="15" t="s">
        <v>72</v>
      </c>
      <c r="C24" s="16">
        <v>1</v>
      </c>
      <c r="D24" s="7" t="s">
        <v>44</v>
      </c>
      <c r="E24" s="16">
        <v>3</v>
      </c>
      <c r="F24" s="30" t="s">
        <v>52</v>
      </c>
      <c r="G24" s="9" t="s">
        <v>75</v>
      </c>
      <c r="H24" s="18">
        <v>9812720</v>
      </c>
      <c r="I24" s="19" t="s">
        <v>68</v>
      </c>
      <c r="J24" s="20" t="s">
        <v>16</v>
      </c>
      <c r="K24" s="20" t="s">
        <v>17</v>
      </c>
      <c r="L24" s="21"/>
      <c r="M24" s="22"/>
      <c r="N24" s="23"/>
      <c r="O24" s="31"/>
      <c r="P24" s="25">
        <f>H24/H52*100</f>
        <v>8.338900631080004E-2</v>
      </c>
      <c r="Q24" s="24">
        <v>16</v>
      </c>
      <c r="R24" s="24">
        <v>26</v>
      </c>
      <c r="S24" s="24">
        <f t="shared" si="2"/>
        <v>42</v>
      </c>
      <c r="T24" s="270">
        <f t="shared" si="3"/>
        <v>3.502338265053602E-2</v>
      </c>
      <c r="U24" s="32">
        <v>1586800</v>
      </c>
      <c r="V24" s="32">
        <f>2522800</f>
        <v>2522800</v>
      </c>
      <c r="W24" s="26">
        <f t="shared" si="5"/>
        <v>4109600</v>
      </c>
      <c r="X24" s="24">
        <f t="shared" si="4"/>
        <v>41.880334912236364</v>
      </c>
      <c r="Y24" s="28">
        <f t="shared" si="1"/>
        <v>5703120</v>
      </c>
      <c r="Z24" s="29"/>
    </row>
    <row r="25" spans="1:26" ht="29.25" customHeight="1" x14ac:dyDescent="0.45">
      <c r="A25" s="6">
        <v>1</v>
      </c>
      <c r="B25" s="15" t="s">
        <v>72</v>
      </c>
      <c r="C25" s="16">
        <v>1</v>
      </c>
      <c r="D25" s="7" t="s">
        <v>44</v>
      </c>
      <c r="E25" s="16">
        <v>5</v>
      </c>
      <c r="F25" s="30" t="s">
        <v>51</v>
      </c>
      <c r="G25" s="9" t="s">
        <v>75</v>
      </c>
      <c r="H25" s="33">
        <v>6757509.9900000002</v>
      </c>
      <c r="I25" s="19" t="s">
        <v>68</v>
      </c>
      <c r="J25" s="20" t="s">
        <v>16</v>
      </c>
      <c r="K25" s="20" t="s">
        <v>17</v>
      </c>
      <c r="L25" s="21"/>
      <c r="M25" s="22"/>
      <c r="N25" s="23"/>
      <c r="O25" s="31"/>
      <c r="P25" s="25">
        <f>H25/H52*100</f>
        <v>5.7425672311184284E-2</v>
      </c>
      <c r="Q25" s="24">
        <v>20</v>
      </c>
      <c r="R25" s="24">
        <v>16</v>
      </c>
      <c r="S25" s="24">
        <f t="shared" si="2"/>
        <v>36</v>
      </c>
      <c r="T25" s="270">
        <f t="shared" si="3"/>
        <v>2.0673242032026345E-2</v>
      </c>
      <c r="U25" s="32">
        <v>1330000</v>
      </c>
      <c r="V25" s="32">
        <f>1064000</f>
        <v>1064000</v>
      </c>
      <c r="W25" s="26">
        <f t="shared" si="5"/>
        <v>2394000</v>
      </c>
      <c r="X25" s="24">
        <f t="shared" si="4"/>
        <v>35.427250622532931</v>
      </c>
      <c r="Y25" s="288">
        <f t="shared" si="1"/>
        <v>4363509.99</v>
      </c>
      <c r="Z25" s="29"/>
    </row>
    <row r="26" spans="1:26" ht="26.25" customHeight="1" x14ac:dyDescent="0.45">
      <c r="A26" s="6">
        <v>1</v>
      </c>
      <c r="B26" s="15" t="s">
        <v>72</v>
      </c>
      <c r="C26" s="16">
        <v>1</v>
      </c>
      <c r="D26" s="7" t="s">
        <v>44</v>
      </c>
      <c r="E26" s="16">
        <v>8</v>
      </c>
      <c r="F26" s="30" t="s">
        <v>50</v>
      </c>
      <c r="G26" s="9" t="s">
        <v>75</v>
      </c>
      <c r="H26" s="276">
        <v>7432000</v>
      </c>
      <c r="I26" s="19" t="s">
        <v>68</v>
      </c>
      <c r="J26" s="20" t="s">
        <v>16</v>
      </c>
      <c r="K26" s="20" t="s">
        <v>17</v>
      </c>
      <c r="L26" s="21"/>
      <c r="M26" s="22"/>
      <c r="N26" s="23"/>
      <c r="O26" s="31"/>
      <c r="P26" s="25">
        <f>H26/H52*100</f>
        <v>6.31575235920179E-2</v>
      </c>
      <c r="Q26" s="24">
        <v>0</v>
      </c>
      <c r="R26" s="24">
        <v>0</v>
      </c>
      <c r="S26" s="24">
        <f t="shared" si="2"/>
        <v>0</v>
      </c>
      <c r="T26" s="270">
        <f t="shared" si="3"/>
        <v>0</v>
      </c>
      <c r="U26" s="26">
        <v>0</v>
      </c>
      <c r="V26" s="26">
        <v>0</v>
      </c>
      <c r="W26" s="26">
        <f t="shared" si="5"/>
        <v>0</v>
      </c>
      <c r="X26" s="24">
        <f t="shared" si="4"/>
        <v>0</v>
      </c>
      <c r="Y26" s="28">
        <f t="shared" si="1"/>
        <v>7432000</v>
      </c>
      <c r="Z26" s="29"/>
    </row>
    <row r="27" spans="1:26" ht="27.75" customHeight="1" x14ac:dyDescent="0.45">
      <c r="A27" s="6">
        <v>1</v>
      </c>
      <c r="B27" s="15" t="s">
        <v>72</v>
      </c>
      <c r="C27" s="16">
        <v>1</v>
      </c>
      <c r="D27" s="7" t="s">
        <v>44</v>
      </c>
      <c r="E27" s="16">
        <v>9</v>
      </c>
      <c r="F27" s="30" t="s">
        <v>49</v>
      </c>
      <c r="G27" s="9" t="s">
        <v>75</v>
      </c>
      <c r="H27" s="18">
        <v>99103500</v>
      </c>
      <c r="I27" s="19" t="s">
        <v>68</v>
      </c>
      <c r="J27" s="20" t="s">
        <v>16</v>
      </c>
      <c r="K27" s="20" t="s">
        <v>17</v>
      </c>
      <c r="L27" s="21"/>
      <c r="M27" s="22"/>
      <c r="N27" s="23"/>
      <c r="O27" s="31"/>
      <c r="P27" s="25">
        <f>H27/H52*100</f>
        <v>0.84218671142378165</v>
      </c>
      <c r="Q27" s="24">
        <v>43</v>
      </c>
      <c r="R27" s="24">
        <v>35</v>
      </c>
      <c r="S27" s="24">
        <f t="shared" si="2"/>
        <v>78</v>
      </c>
      <c r="T27" s="270">
        <f t="shared" si="3"/>
        <v>0.65690563491054976</v>
      </c>
      <c r="U27" s="32">
        <v>42207134</v>
      </c>
      <c r="V27" s="26">
        <f>34397500</f>
        <v>34397500</v>
      </c>
      <c r="W27" s="26">
        <f t="shared" si="5"/>
        <v>76604634</v>
      </c>
      <c r="X27" s="24">
        <f t="shared" si="4"/>
        <v>77.297607047177948</v>
      </c>
      <c r="Y27" s="28">
        <f t="shared" si="1"/>
        <v>22498866</v>
      </c>
      <c r="Z27" s="29"/>
    </row>
    <row r="28" spans="1:26" ht="29.25" customHeight="1" x14ac:dyDescent="0.45">
      <c r="A28" s="154">
        <v>1</v>
      </c>
      <c r="B28" s="155" t="s">
        <v>72</v>
      </c>
      <c r="C28" s="156">
        <v>1</v>
      </c>
      <c r="D28" s="157" t="s">
        <v>45</v>
      </c>
      <c r="E28" s="158"/>
      <c r="F28" s="159" t="s">
        <v>33</v>
      </c>
      <c r="G28" s="160" t="s">
        <v>75</v>
      </c>
      <c r="H28" s="161">
        <f>SUM(H29:H30)</f>
        <v>2082280000</v>
      </c>
      <c r="I28" s="173"/>
      <c r="J28" s="160" t="s">
        <v>16</v>
      </c>
      <c r="K28" s="160" t="s">
        <v>17</v>
      </c>
      <c r="L28" s="163"/>
      <c r="M28" s="164"/>
      <c r="N28" s="165"/>
      <c r="O28" s="172"/>
      <c r="P28" s="167">
        <f>H28/H52*100</f>
        <v>17.69532403460536</v>
      </c>
      <c r="Q28" s="166">
        <v>29.5</v>
      </c>
      <c r="R28" s="166">
        <f>SUM(R29:R30)/2</f>
        <v>4.5</v>
      </c>
      <c r="S28" s="166">
        <f t="shared" si="2"/>
        <v>34</v>
      </c>
      <c r="T28" s="269">
        <f t="shared" si="3"/>
        <v>6.0164101717658216</v>
      </c>
      <c r="U28" s="168">
        <v>1016503982</v>
      </c>
      <c r="V28" s="168">
        <f>SUM(V29:V30)</f>
        <v>73346530</v>
      </c>
      <c r="W28" s="173">
        <f t="shared" si="5"/>
        <v>1089850512</v>
      </c>
      <c r="X28" s="166">
        <f t="shared" si="4"/>
        <v>52.339287319668827</v>
      </c>
      <c r="Y28" s="169">
        <f t="shared" si="1"/>
        <v>992429488</v>
      </c>
      <c r="Z28" s="170"/>
    </row>
    <row r="29" spans="1:26" ht="28.5" customHeight="1" x14ac:dyDescent="0.45">
      <c r="A29" s="6">
        <v>1</v>
      </c>
      <c r="B29" s="15" t="s">
        <v>72</v>
      </c>
      <c r="C29" s="35">
        <v>1</v>
      </c>
      <c r="D29" s="7" t="s">
        <v>45</v>
      </c>
      <c r="E29" s="16">
        <v>2</v>
      </c>
      <c r="F29" s="36" t="s">
        <v>48</v>
      </c>
      <c r="G29" s="9" t="s">
        <v>75</v>
      </c>
      <c r="H29" s="37">
        <v>16000000</v>
      </c>
      <c r="I29" s="19" t="s">
        <v>68</v>
      </c>
      <c r="J29" s="20" t="s">
        <v>16</v>
      </c>
      <c r="K29" s="20" t="s">
        <v>17</v>
      </c>
      <c r="L29" s="38"/>
      <c r="M29" s="39"/>
      <c r="N29" s="40"/>
      <c r="O29" s="41"/>
      <c r="P29" s="25">
        <f>H29/H52*100</f>
        <v>0.13596883442845617</v>
      </c>
      <c r="Q29" s="24">
        <v>9</v>
      </c>
      <c r="R29" s="24">
        <v>6</v>
      </c>
      <c r="S29" s="24">
        <f t="shared" si="2"/>
        <v>15</v>
      </c>
      <c r="T29" s="270">
        <f t="shared" si="3"/>
        <v>2.0395325164268424E-2</v>
      </c>
      <c r="U29" s="32">
        <v>1513982</v>
      </c>
      <c r="V29" s="32">
        <f>846530</f>
        <v>846530</v>
      </c>
      <c r="W29" s="26">
        <f t="shared" si="5"/>
        <v>2360512</v>
      </c>
      <c r="X29" s="24">
        <f t="shared" si="4"/>
        <v>14.7532</v>
      </c>
      <c r="Y29" s="28">
        <f t="shared" si="1"/>
        <v>13639488</v>
      </c>
      <c r="Z29" s="42"/>
    </row>
    <row r="30" spans="1:26" ht="26.25" customHeight="1" x14ac:dyDescent="0.45">
      <c r="A30" s="6">
        <v>1</v>
      </c>
      <c r="B30" s="15" t="s">
        <v>72</v>
      </c>
      <c r="C30" s="35">
        <v>1</v>
      </c>
      <c r="D30" s="7" t="s">
        <v>45</v>
      </c>
      <c r="E30" s="16">
        <v>4</v>
      </c>
      <c r="F30" s="36" t="s">
        <v>34</v>
      </c>
      <c r="G30" s="9" t="s">
        <v>75</v>
      </c>
      <c r="H30" s="37">
        <v>2066280000</v>
      </c>
      <c r="I30" s="19" t="s">
        <v>68</v>
      </c>
      <c r="J30" s="20" t="s">
        <v>16</v>
      </c>
      <c r="K30" s="20" t="s">
        <v>17</v>
      </c>
      <c r="L30" s="21"/>
      <c r="M30" s="22"/>
      <c r="N30" s="23"/>
      <c r="O30" s="31"/>
      <c r="P30" s="25">
        <f>H30/H52*100</f>
        <v>17.559355200176903</v>
      </c>
      <c r="Q30" s="24">
        <v>50</v>
      </c>
      <c r="R30" s="24">
        <v>3</v>
      </c>
      <c r="S30" s="24">
        <f t="shared" si="2"/>
        <v>53</v>
      </c>
      <c r="T30" s="270">
        <f t="shared" si="3"/>
        <v>9.3064582560937588</v>
      </c>
      <c r="U30" s="32">
        <v>1014990000</v>
      </c>
      <c r="V30" s="32">
        <f>72500000</f>
        <v>72500000</v>
      </c>
      <c r="W30" s="26">
        <f t="shared" si="5"/>
        <v>1087490000</v>
      </c>
      <c r="X30" s="24">
        <f t="shared" si="4"/>
        <v>52.630330836091908</v>
      </c>
      <c r="Y30" s="28">
        <f t="shared" si="1"/>
        <v>978790000</v>
      </c>
      <c r="Z30" s="42"/>
    </row>
    <row r="31" spans="1:26" ht="39.75" customHeight="1" x14ac:dyDescent="0.45">
      <c r="A31" s="154">
        <v>1</v>
      </c>
      <c r="B31" s="155" t="s">
        <v>72</v>
      </c>
      <c r="C31" s="174">
        <v>1</v>
      </c>
      <c r="D31" s="157" t="s">
        <v>46</v>
      </c>
      <c r="E31" s="157"/>
      <c r="F31" s="159" t="s">
        <v>35</v>
      </c>
      <c r="G31" s="160" t="s">
        <v>75</v>
      </c>
      <c r="H31" s="161">
        <f>SUM(H32:H34)</f>
        <v>394865374</v>
      </c>
      <c r="I31" s="162"/>
      <c r="J31" s="160" t="s">
        <v>16</v>
      </c>
      <c r="K31" s="160" t="s">
        <v>17</v>
      </c>
      <c r="L31" s="172"/>
      <c r="M31" s="164"/>
      <c r="N31" s="165"/>
      <c r="O31" s="172"/>
      <c r="P31" s="167">
        <f>H31/H52*100</f>
        <v>3.3555865411835266</v>
      </c>
      <c r="Q31" s="166">
        <v>25.333333333333332</v>
      </c>
      <c r="R31" s="166">
        <f>SUM(R32:R34)/3</f>
        <v>5</v>
      </c>
      <c r="S31" s="166">
        <f t="shared" si="2"/>
        <v>30.333333333333332</v>
      </c>
      <c r="T31" s="269">
        <f t="shared" si="3"/>
        <v>1.0178612508256697</v>
      </c>
      <c r="U31" s="168">
        <v>144042094</v>
      </c>
      <c r="V31" s="168">
        <f>SUM(V32:V34)</f>
        <v>34757653</v>
      </c>
      <c r="W31" s="173">
        <f t="shared" si="5"/>
        <v>178799747</v>
      </c>
      <c r="X31" s="166">
        <f t="shared" si="4"/>
        <v>45.2811917106715</v>
      </c>
      <c r="Y31" s="169">
        <f t="shared" si="1"/>
        <v>216065627</v>
      </c>
      <c r="Z31" s="170"/>
    </row>
    <row r="32" spans="1:26" ht="52.5" customHeight="1" x14ac:dyDescent="0.45">
      <c r="A32" s="6">
        <v>1</v>
      </c>
      <c r="B32" s="15" t="s">
        <v>72</v>
      </c>
      <c r="C32" s="35">
        <v>1</v>
      </c>
      <c r="D32" s="7" t="s">
        <v>46</v>
      </c>
      <c r="E32" s="16">
        <v>1</v>
      </c>
      <c r="F32" s="36" t="s">
        <v>64</v>
      </c>
      <c r="G32" s="9" t="s">
        <v>75</v>
      </c>
      <c r="H32" s="43">
        <v>73108600</v>
      </c>
      <c r="I32" s="19" t="s">
        <v>68</v>
      </c>
      <c r="J32" s="20" t="s">
        <v>16</v>
      </c>
      <c r="K32" s="20" t="s">
        <v>17</v>
      </c>
      <c r="L32" s="21"/>
      <c r="M32" s="22"/>
      <c r="N32" s="23"/>
      <c r="O32" s="31"/>
      <c r="P32" s="25">
        <f>H32/H52*100</f>
        <v>0.62128069554351451</v>
      </c>
      <c r="Q32" s="24">
        <v>37</v>
      </c>
      <c r="R32" s="24">
        <v>5</v>
      </c>
      <c r="S32" s="24">
        <f t="shared" si="2"/>
        <v>42</v>
      </c>
      <c r="T32" s="270">
        <f t="shared" si="3"/>
        <v>0.26093789212827612</v>
      </c>
      <c r="U32" s="32">
        <v>27037703</v>
      </c>
      <c r="V32" s="32">
        <f>3132548</f>
        <v>3132548</v>
      </c>
      <c r="W32" s="26">
        <f t="shared" si="5"/>
        <v>30170251</v>
      </c>
      <c r="X32" s="24">
        <f t="shared" si="4"/>
        <v>41.267718161748412</v>
      </c>
      <c r="Y32" s="28">
        <f t="shared" si="1"/>
        <v>42938349</v>
      </c>
      <c r="Z32" s="29"/>
    </row>
    <row r="33" spans="1:26" ht="54" customHeight="1" x14ac:dyDescent="0.45">
      <c r="A33" s="294">
        <v>1</v>
      </c>
      <c r="B33" s="295" t="s">
        <v>72</v>
      </c>
      <c r="C33" s="46">
        <v>1</v>
      </c>
      <c r="D33" s="47" t="s">
        <v>46</v>
      </c>
      <c r="E33" s="296">
        <v>2</v>
      </c>
      <c r="F33" s="297" t="s">
        <v>122</v>
      </c>
      <c r="G33" s="50" t="s">
        <v>75</v>
      </c>
      <c r="H33" s="298">
        <v>307138696</v>
      </c>
      <c r="I33" s="299" t="s">
        <v>68</v>
      </c>
      <c r="J33" s="300" t="s">
        <v>16</v>
      </c>
      <c r="K33" s="300" t="s">
        <v>17</v>
      </c>
      <c r="L33" s="301"/>
      <c r="M33" s="302"/>
      <c r="N33" s="303"/>
      <c r="O33" s="304"/>
      <c r="P33" s="305">
        <f>H33/H52*100</f>
        <v>2.6100806564372458</v>
      </c>
      <c r="Q33" s="306">
        <v>39</v>
      </c>
      <c r="R33" s="306">
        <v>10</v>
      </c>
      <c r="S33" s="306">
        <f>Q33+R33</f>
        <v>49</v>
      </c>
      <c r="T33" s="307">
        <f t="shared" si="3"/>
        <v>1.2789395216542505</v>
      </c>
      <c r="U33" s="308">
        <v>117004391</v>
      </c>
      <c r="V33" s="308">
        <f>31625105</f>
        <v>31625105</v>
      </c>
      <c r="W33" s="309">
        <f>U33+V33</f>
        <v>148629496</v>
      </c>
      <c r="X33" s="306">
        <f>W33/H33*100</f>
        <v>48.391654303305373</v>
      </c>
      <c r="Y33" s="310">
        <f>H33-W33</f>
        <v>158509200</v>
      </c>
      <c r="Z33" s="311"/>
    </row>
    <row r="34" spans="1:26" ht="26.25" customHeight="1" x14ac:dyDescent="0.45">
      <c r="A34" s="6">
        <v>1</v>
      </c>
      <c r="B34" s="15" t="s">
        <v>72</v>
      </c>
      <c r="C34" s="35">
        <v>1</v>
      </c>
      <c r="D34" s="7" t="s">
        <v>46</v>
      </c>
      <c r="E34" s="16">
        <v>6</v>
      </c>
      <c r="F34" s="36" t="s">
        <v>36</v>
      </c>
      <c r="G34" s="312" t="s">
        <v>75</v>
      </c>
      <c r="H34" s="313">
        <v>14618078</v>
      </c>
      <c r="I34" s="314" t="s">
        <v>68</v>
      </c>
      <c r="J34" s="315" t="s">
        <v>16</v>
      </c>
      <c r="K34" s="315" t="s">
        <v>17</v>
      </c>
      <c r="L34" s="316"/>
      <c r="M34" s="317"/>
      <c r="N34" s="318"/>
      <c r="O34" s="319"/>
      <c r="P34" s="320">
        <f>H34/H52*100</f>
        <v>0.12422518920276611</v>
      </c>
      <c r="Q34" s="321">
        <v>0</v>
      </c>
      <c r="R34" s="321">
        <v>0</v>
      </c>
      <c r="S34" s="321">
        <f t="shared" si="2"/>
        <v>0</v>
      </c>
      <c r="T34" s="322">
        <f t="shared" si="3"/>
        <v>0</v>
      </c>
      <c r="U34" s="323">
        <v>0</v>
      </c>
      <c r="V34" s="323">
        <v>0</v>
      </c>
      <c r="W34" s="324">
        <f t="shared" si="5"/>
        <v>0</v>
      </c>
      <c r="X34" s="321">
        <f t="shared" si="4"/>
        <v>0</v>
      </c>
      <c r="Y34" s="325">
        <f t="shared" si="1"/>
        <v>14618078</v>
      </c>
      <c r="Z34" s="326"/>
    </row>
    <row r="35" spans="1:26" ht="39.75" customHeight="1" x14ac:dyDescent="0.45">
      <c r="A35" s="175">
        <v>1</v>
      </c>
      <c r="B35" s="176" t="s">
        <v>72</v>
      </c>
      <c r="C35" s="177">
        <v>2</v>
      </c>
      <c r="D35" s="178"/>
      <c r="E35" s="178"/>
      <c r="F35" s="179" t="s">
        <v>76</v>
      </c>
      <c r="G35" s="231" t="s">
        <v>75</v>
      </c>
      <c r="H35" s="232">
        <f>H36+H40+H43</f>
        <v>2642907480.0100002</v>
      </c>
      <c r="I35" s="233"/>
      <c r="J35" s="231" t="s">
        <v>16</v>
      </c>
      <c r="K35" s="231" t="s">
        <v>17</v>
      </c>
      <c r="L35" s="234"/>
      <c r="M35" s="235"/>
      <c r="N35" s="236"/>
      <c r="O35" s="237"/>
      <c r="P35" s="238">
        <f>H35/H52*100</f>
        <v>22.459565597450506</v>
      </c>
      <c r="Q35" s="239">
        <v>30.833333333333332</v>
      </c>
      <c r="R35" s="239">
        <f>(R36+R40+R43)/3</f>
        <v>4.333333333333333</v>
      </c>
      <c r="S35" s="239">
        <f t="shared" si="2"/>
        <v>35.166666666666664</v>
      </c>
      <c r="T35" s="268">
        <f t="shared" si="3"/>
        <v>7.8982805684367614</v>
      </c>
      <c r="U35" s="240">
        <v>276244965</v>
      </c>
      <c r="V35" s="241">
        <f>V36+V40+V43</f>
        <v>38345000</v>
      </c>
      <c r="W35" s="241">
        <f t="shared" si="5"/>
        <v>314589965</v>
      </c>
      <c r="X35" s="239">
        <f>W35/H35*100</f>
        <v>11.903177367329167</v>
      </c>
      <c r="Y35" s="242">
        <f>H35-W35</f>
        <v>2328317515.0100002</v>
      </c>
      <c r="Z35" s="243"/>
    </row>
    <row r="36" spans="1:26" ht="42" customHeight="1" x14ac:dyDescent="0.45">
      <c r="A36" s="154">
        <v>1</v>
      </c>
      <c r="B36" s="155" t="s">
        <v>72</v>
      </c>
      <c r="C36" s="174">
        <v>2</v>
      </c>
      <c r="D36" s="157" t="s">
        <v>42</v>
      </c>
      <c r="E36" s="157"/>
      <c r="F36" s="159" t="s">
        <v>77</v>
      </c>
      <c r="G36" s="160" t="s">
        <v>75</v>
      </c>
      <c r="H36" s="196">
        <f>SUM(H37:H39)</f>
        <v>2506664780</v>
      </c>
      <c r="I36" s="162"/>
      <c r="J36" s="160" t="s">
        <v>16</v>
      </c>
      <c r="K36" s="160" t="s">
        <v>17</v>
      </c>
      <c r="L36" s="172"/>
      <c r="M36" s="164"/>
      <c r="N36" s="165"/>
      <c r="O36" s="172"/>
      <c r="P36" s="167">
        <f>H36/H52*100</f>
        <v>21.301768027466409</v>
      </c>
      <c r="Q36" s="166">
        <v>23.5</v>
      </c>
      <c r="R36" s="166">
        <f>SUM(R37:R39)/3</f>
        <v>9</v>
      </c>
      <c r="S36" s="166">
        <f t="shared" si="2"/>
        <v>32.5</v>
      </c>
      <c r="T36" s="269">
        <f t="shared" si="3"/>
        <v>6.9230746089265827</v>
      </c>
      <c r="U36" s="173">
        <v>227538065</v>
      </c>
      <c r="V36" s="173">
        <f>SUM(V37:V39)</f>
        <v>29305000</v>
      </c>
      <c r="W36" s="173">
        <f t="shared" si="5"/>
        <v>256843065</v>
      </c>
      <c r="X36" s="166">
        <f>W36/H36*100</f>
        <v>10.246406581736869</v>
      </c>
      <c r="Y36" s="169">
        <f>H36-W36</f>
        <v>2249821715</v>
      </c>
      <c r="Z36" s="170"/>
    </row>
    <row r="37" spans="1:26" ht="40.5" customHeight="1" x14ac:dyDescent="0.45">
      <c r="A37" s="6">
        <v>1</v>
      </c>
      <c r="B37" s="15" t="s">
        <v>72</v>
      </c>
      <c r="C37" s="46">
        <v>2</v>
      </c>
      <c r="D37" s="47" t="s">
        <v>42</v>
      </c>
      <c r="E37" s="48">
        <v>4</v>
      </c>
      <c r="F37" s="49" t="s">
        <v>79</v>
      </c>
      <c r="G37" s="50" t="s">
        <v>75</v>
      </c>
      <c r="H37" s="51">
        <v>41460500</v>
      </c>
      <c r="I37" s="19" t="s">
        <v>68</v>
      </c>
      <c r="J37" s="20" t="s">
        <v>16</v>
      </c>
      <c r="K37" s="20" t="s">
        <v>17</v>
      </c>
      <c r="L37" s="21"/>
      <c r="M37" s="22"/>
      <c r="N37" s="23"/>
      <c r="O37" s="31"/>
      <c r="P37" s="25">
        <f>H37/H52*100</f>
        <v>0.35233349123881297</v>
      </c>
      <c r="Q37" s="24">
        <v>61</v>
      </c>
      <c r="R37" s="24">
        <v>26</v>
      </c>
      <c r="S37" s="24">
        <f>Q37+R37</f>
        <v>87</v>
      </c>
      <c r="T37" s="270">
        <f t="shared" si="3"/>
        <v>0.3065301373777673</v>
      </c>
      <c r="U37" s="32">
        <v>25086445</v>
      </c>
      <c r="V37" s="26">
        <f>10799000</f>
        <v>10799000</v>
      </c>
      <c r="W37" s="26">
        <f>U37+V37</f>
        <v>35885445</v>
      </c>
      <c r="X37" s="24">
        <f>W37/H37*100</f>
        <v>86.553333896117991</v>
      </c>
      <c r="Y37" s="28">
        <f>H37-W37</f>
        <v>5575055</v>
      </c>
      <c r="Z37" s="29"/>
    </row>
    <row r="38" spans="1:26" ht="66.75" customHeight="1" x14ac:dyDescent="0.45">
      <c r="A38" s="6">
        <v>1</v>
      </c>
      <c r="B38" s="15" t="s">
        <v>72</v>
      </c>
      <c r="C38" s="35">
        <v>2</v>
      </c>
      <c r="D38" s="7" t="s">
        <v>42</v>
      </c>
      <c r="E38" s="16">
        <v>5</v>
      </c>
      <c r="F38" s="17" t="s">
        <v>118</v>
      </c>
      <c r="G38" s="9" t="s">
        <v>75</v>
      </c>
      <c r="H38" s="37">
        <v>2714280</v>
      </c>
      <c r="I38" s="19" t="s">
        <v>68</v>
      </c>
      <c r="J38" s="20" t="s">
        <v>16</v>
      </c>
      <c r="K38" s="20" t="s">
        <v>17</v>
      </c>
      <c r="L38" s="41"/>
      <c r="M38" s="39"/>
      <c r="N38" s="40"/>
      <c r="O38" s="41"/>
      <c r="P38" s="25">
        <f>H38/H52*100</f>
        <v>2.3066092994529379E-2</v>
      </c>
      <c r="Q38" s="24">
        <v>0</v>
      </c>
      <c r="R38" s="24">
        <v>0</v>
      </c>
      <c r="S38" s="24">
        <f t="shared" ref="S38" si="6">Q38+R38</f>
        <v>0</v>
      </c>
      <c r="T38" s="270">
        <f t="shared" si="3"/>
        <v>0</v>
      </c>
      <c r="U38" s="32">
        <v>0</v>
      </c>
      <c r="V38" s="26">
        <v>0</v>
      </c>
      <c r="W38" s="26">
        <f t="shared" ref="W38" si="7">U38+V38</f>
        <v>0</v>
      </c>
      <c r="X38" s="24">
        <f>W38/H38*100</f>
        <v>0</v>
      </c>
      <c r="Y38" s="28">
        <f t="shared" ref="Y38" si="8">H38-W38</f>
        <v>2714280</v>
      </c>
      <c r="Z38" s="42"/>
    </row>
    <row r="39" spans="1:26" ht="67.5" customHeight="1" x14ac:dyDescent="0.45">
      <c r="A39" s="6">
        <v>1</v>
      </c>
      <c r="B39" s="15" t="s">
        <v>72</v>
      </c>
      <c r="C39" s="35">
        <v>2</v>
      </c>
      <c r="D39" s="7" t="s">
        <v>42</v>
      </c>
      <c r="E39" s="16">
        <v>15</v>
      </c>
      <c r="F39" s="17" t="s">
        <v>78</v>
      </c>
      <c r="G39" s="9" t="s">
        <v>75</v>
      </c>
      <c r="H39" s="37">
        <v>2462490000</v>
      </c>
      <c r="I39" s="19" t="s">
        <v>68</v>
      </c>
      <c r="J39" s="20" t="s">
        <v>16</v>
      </c>
      <c r="K39" s="20" t="s">
        <v>17</v>
      </c>
      <c r="L39" s="41"/>
      <c r="M39" s="39"/>
      <c r="N39" s="40"/>
      <c r="O39" s="41"/>
      <c r="P39" s="25">
        <f>H39/H52*100</f>
        <v>20.926368443233066</v>
      </c>
      <c r="Q39" s="24">
        <v>9</v>
      </c>
      <c r="R39" s="24">
        <v>1</v>
      </c>
      <c r="S39" s="24">
        <f t="shared" si="2"/>
        <v>10</v>
      </c>
      <c r="T39" s="270">
        <f t="shared" si="3"/>
        <v>2.0926368443233065</v>
      </c>
      <c r="U39" s="32">
        <v>202451620</v>
      </c>
      <c r="V39" s="26">
        <f>18506000</f>
        <v>18506000</v>
      </c>
      <c r="W39" s="26">
        <f t="shared" si="5"/>
        <v>220957620</v>
      </c>
      <c r="X39" s="24">
        <f>W39/H39*100</f>
        <v>8.9729347124252268</v>
      </c>
      <c r="Y39" s="28">
        <f t="shared" si="1"/>
        <v>2241532380</v>
      </c>
      <c r="Z39" s="42"/>
    </row>
    <row r="40" spans="1:26" ht="42" customHeight="1" x14ac:dyDescent="0.45">
      <c r="A40" s="154">
        <v>1</v>
      </c>
      <c r="B40" s="155" t="s">
        <v>72</v>
      </c>
      <c r="C40" s="197">
        <v>2</v>
      </c>
      <c r="D40" s="157" t="s">
        <v>43</v>
      </c>
      <c r="E40" s="198"/>
      <c r="F40" s="199" t="s">
        <v>80</v>
      </c>
      <c r="G40" s="200" t="s">
        <v>75</v>
      </c>
      <c r="H40" s="201">
        <f>SUM(H41:H42)</f>
        <v>131772700.01000001</v>
      </c>
      <c r="I40" s="162"/>
      <c r="J40" s="160" t="s">
        <v>16</v>
      </c>
      <c r="K40" s="160" t="s">
        <v>17</v>
      </c>
      <c r="L40" s="163"/>
      <c r="M40" s="164"/>
      <c r="N40" s="165"/>
      <c r="O40" s="172"/>
      <c r="P40" s="167">
        <f>H40/H52*100</f>
        <v>1.119811276865645</v>
      </c>
      <c r="Q40" s="166">
        <v>63</v>
      </c>
      <c r="R40" s="166">
        <f>SUM(R41:R42)/2</f>
        <v>4</v>
      </c>
      <c r="S40" s="166">
        <f>Q40+R40</f>
        <v>67</v>
      </c>
      <c r="T40" s="269">
        <f t="shared" si="3"/>
        <v>0.7502735554999822</v>
      </c>
      <c r="U40" s="168">
        <v>48706900</v>
      </c>
      <c r="V40" s="173">
        <f>SUM(V41:V42)</f>
        <v>9040000</v>
      </c>
      <c r="W40" s="173">
        <f t="shared" si="5"/>
        <v>57746900</v>
      </c>
      <c r="X40" s="166">
        <f t="shared" si="4"/>
        <v>43.823113585452589</v>
      </c>
      <c r="Y40" s="169">
        <f t="shared" si="1"/>
        <v>74025800.010000005</v>
      </c>
      <c r="Z40" s="170"/>
    </row>
    <row r="41" spans="1:26" ht="28.5" customHeight="1" x14ac:dyDescent="0.45">
      <c r="A41" s="6">
        <v>1</v>
      </c>
      <c r="B41" s="15" t="s">
        <v>72</v>
      </c>
      <c r="C41" s="46">
        <v>2</v>
      </c>
      <c r="D41" s="52" t="s">
        <v>43</v>
      </c>
      <c r="E41" s="53">
        <v>10</v>
      </c>
      <c r="F41" s="17" t="s">
        <v>119</v>
      </c>
      <c r="G41" s="50" t="s">
        <v>75</v>
      </c>
      <c r="H41" s="54">
        <v>12963385.01</v>
      </c>
      <c r="I41" s="55" t="s">
        <v>86</v>
      </c>
      <c r="J41" s="20" t="s">
        <v>16</v>
      </c>
      <c r="K41" s="20" t="s">
        <v>17</v>
      </c>
      <c r="L41" s="21"/>
      <c r="M41" s="22"/>
      <c r="N41" s="23"/>
      <c r="O41" s="31"/>
      <c r="P41" s="25">
        <f>H41/H52*100</f>
        <v>0.11016352187856379</v>
      </c>
      <c r="Q41" s="24">
        <v>95</v>
      </c>
      <c r="R41" s="24">
        <v>0</v>
      </c>
      <c r="S41" s="24">
        <f>Q41+R41</f>
        <v>95</v>
      </c>
      <c r="T41" s="270">
        <f t="shared" si="3"/>
        <v>0.10465534578463559</v>
      </c>
      <c r="U41" s="32">
        <v>12354900</v>
      </c>
      <c r="V41" s="26">
        <v>0</v>
      </c>
      <c r="W41" s="26">
        <f t="shared" si="5"/>
        <v>12354900</v>
      </c>
      <c r="X41" s="24">
        <f t="shared" si="4"/>
        <v>95.306125602760289</v>
      </c>
      <c r="Y41" s="28">
        <f t="shared" si="1"/>
        <v>608485.00999999978</v>
      </c>
      <c r="Z41" s="29"/>
    </row>
    <row r="42" spans="1:26" ht="27.75" customHeight="1" x14ac:dyDescent="0.45">
      <c r="A42" s="6">
        <v>1</v>
      </c>
      <c r="B42" s="15" t="s">
        <v>72</v>
      </c>
      <c r="C42" s="46">
        <v>2</v>
      </c>
      <c r="D42" s="52" t="s">
        <v>43</v>
      </c>
      <c r="E42" s="53">
        <v>11</v>
      </c>
      <c r="F42" s="17" t="s">
        <v>92</v>
      </c>
      <c r="G42" s="50" t="s">
        <v>75</v>
      </c>
      <c r="H42" s="37">
        <v>118809315</v>
      </c>
      <c r="I42" s="55" t="s">
        <v>86</v>
      </c>
      <c r="J42" s="20" t="s">
        <v>16</v>
      </c>
      <c r="K42" s="20" t="s">
        <v>17</v>
      </c>
      <c r="L42" s="21"/>
      <c r="M42" s="22"/>
      <c r="N42" s="23"/>
      <c r="O42" s="31"/>
      <c r="P42" s="25">
        <f>H42/H52*100</f>
        <v>1.009647754987081</v>
      </c>
      <c r="Q42" s="24">
        <v>31</v>
      </c>
      <c r="R42" s="24">
        <v>8</v>
      </c>
      <c r="S42" s="24">
        <f>Q42+R42</f>
        <v>39</v>
      </c>
      <c r="T42" s="270">
        <f t="shared" si="3"/>
        <v>0.39376262444496163</v>
      </c>
      <c r="U42" s="32">
        <v>36352000</v>
      </c>
      <c r="V42" s="26">
        <f>9040000</f>
        <v>9040000</v>
      </c>
      <c r="W42" s="26">
        <f t="shared" si="5"/>
        <v>45392000</v>
      </c>
      <c r="X42" s="24">
        <f t="shared" si="4"/>
        <v>38.205758529960384</v>
      </c>
      <c r="Y42" s="28">
        <f t="shared" si="1"/>
        <v>73417315</v>
      </c>
      <c r="Z42" s="29"/>
    </row>
    <row r="43" spans="1:26" ht="28.5" customHeight="1" x14ac:dyDescent="0.45">
      <c r="A43" s="154">
        <v>1</v>
      </c>
      <c r="B43" s="155" t="s">
        <v>72</v>
      </c>
      <c r="C43" s="197">
        <v>2</v>
      </c>
      <c r="D43" s="157" t="s">
        <v>93</v>
      </c>
      <c r="E43" s="198"/>
      <c r="F43" s="199" t="s">
        <v>81</v>
      </c>
      <c r="G43" s="200" t="s">
        <v>75</v>
      </c>
      <c r="H43" s="161">
        <f>SUM(H44)</f>
        <v>4470000</v>
      </c>
      <c r="I43" s="162"/>
      <c r="J43" s="160" t="s">
        <v>16</v>
      </c>
      <c r="K43" s="160" t="s">
        <v>17</v>
      </c>
      <c r="L43" s="163"/>
      <c r="M43" s="164"/>
      <c r="N43" s="165"/>
      <c r="O43" s="172"/>
      <c r="P43" s="167">
        <f>H43/H52*100</f>
        <v>3.7986293118449949E-2</v>
      </c>
      <c r="Q43" s="166">
        <v>0</v>
      </c>
      <c r="R43" s="166">
        <f>R44</f>
        <v>0</v>
      </c>
      <c r="S43" s="166">
        <f>Q43+R43</f>
        <v>0</v>
      </c>
      <c r="T43" s="269">
        <f t="shared" si="3"/>
        <v>0</v>
      </c>
      <c r="U43" s="168">
        <v>0</v>
      </c>
      <c r="V43" s="173">
        <f>SUM(V44)</f>
        <v>0</v>
      </c>
      <c r="W43" s="173">
        <f t="shared" si="5"/>
        <v>0</v>
      </c>
      <c r="X43" s="166">
        <f t="shared" si="4"/>
        <v>0</v>
      </c>
      <c r="Y43" s="169">
        <f t="shared" si="1"/>
        <v>4470000</v>
      </c>
      <c r="Z43" s="170"/>
    </row>
    <row r="44" spans="1:26" ht="27" customHeight="1" x14ac:dyDescent="0.45">
      <c r="A44" s="6">
        <v>1</v>
      </c>
      <c r="B44" s="15" t="s">
        <v>72</v>
      </c>
      <c r="C44" s="46">
        <v>2</v>
      </c>
      <c r="D44" s="56" t="s">
        <v>93</v>
      </c>
      <c r="E44" s="53">
        <v>6</v>
      </c>
      <c r="F44" s="49" t="s">
        <v>82</v>
      </c>
      <c r="G44" s="50" t="s">
        <v>75</v>
      </c>
      <c r="H44" s="51">
        <v>4470000</v>
      </c>
      <c r="I44" s="19" t="s">
        <v>68</v>
      </c>
      <c r="J44" s="20" t="s">
        <v>16</v>
      </c>
      <c r="K44" s="20" t="s">
        <v>17</v>
      </c>
      <c r="L44" s="21"/>
      <c r="M44" s="22"/>
      <c r="N44" s="23"/>
      <c r="O44" s="31"/>
      <c r="P44" s="25">
        <f>H44/H52*100</f>
        <v>3.7986293118449949E-2</v>
      </c>
      <c r="Q44" s="24">
        <v>0</v>
      </c>
      <c r="R44" s="24">
        <v>0</v>
      </c>
      <c r="S44" s="24">
        <f>Q44+R44</f>
        <v>0</v>
      </c>
      <c r="T44" s="270">
        <f t="shared" si="3"/>
        <v>0</v>
      </c>
      <c r="U44" s="32">
        <v>0</v>
      </c>
      <c r="V44" s="26">
        <v>0</v>
      </c>
      <c r="W44" s="26">
        <f t="shared" si="5"/>
        <v>0</v>
      </c>
      <c r="X44" s="24">
        <f t="shared" si="4"/>
        <v>0</v>
      </c>
      <c r="Y44" s="28">
        <f t="shared" si="1"/>
        <v>4470000</v>
      </c>
      <c r="Z44" s="29"/>
    </row>
    <row r="45" spans="1:26" ht="54" customHeight="1" x14ac:dyDescent="0.45">
      <c r="A45" s="175">
        <v>1</v>
      </c>
      <c r="B45" s="176" t="s">
        <v>72</v>
      </c>
      <c r="C45" s="202">
        <v>4</v>
      </c>
      <c r="D45" s="203"/>
      <c r="E45" s="204"/>
      <c r="F45" s="205" t="s">
        <v>104</v>
      </c>
      <c r="G45" s="180" t="s">
        <v>75</v>
      </c>
      <c r="H45" s="190">
        <f>H46+H50</f>
        <v>621395808</v>
      </c>
      <c r="I45" s="181"/>
      <c r="J45" s="180" t="s">
        <v>16</v>
      </c>
      <c r="K45" s="180" t="s">
        <v>17</v>
      </c>
      <c r="L45" s="182"/>
      <c r="M45" s="183"/>
      <c r="N45" s="184"/>
      <c r="O45" s="185"/>
      <c r="P45" s="186">
        <f>H45/H52*100</f>
        <v>5.2806539832805468</v>
      </c>
      <c r="Q45" s="187">
        <v>8.1666666666666679</v>
      </c>
      <c r="R45" s="187">
        <f>(R46+R50)/2</f>
        <v>2.5</v>
      </c>
      <c r="S45" s="187">
        <f t="shared" si="2"/>
        <v>10.666666666666668</v>
      </c>
      <c r="T45" s="268">
        <f t="shared" si="3"/>
        <v>0.56326975821659175</v>
      </c>
      <c r="U45" s="188">
        <v>191167437</v>
      </c>
      <c r="V45" s="189">
        <f>V46+V50</f>
        <v>67620000</v>
      </c>
      <c r="W45" s="189">
        <f t="shared" si="5"/>
        <v>258787437</v>
      </c>
      <c r="X45" s="187">
        <f t="shared" si="4"/>
        <v>41.646151079281182</v>
      </c>
      <c r="Y45" s="190">
        <f t="shared" si="1"/>
        <v>362608371</v>
      </c>
      <c r="Z45" s="191"/>
    </row>
    <row r="46" spans="1:26" ht="67.5" customHeight="1" x14ac:dyDescent="0.45">
      <c r="A46" s="154">
        <v>1</v>
      </c>
      <c r="B46" s="155" t="s">
        <v>72</v>
      </c>
      <c r="C46" s="174">
        <v>4</v>
      </c>
      <c r="D46" s="157" t="s">
        <v>42</v>
      </c>
      <c r="E46" s="206"/>
      <c r="F46" s="199" t="s">
        <v>105</v>
      </c>
      <c r="G46" s="160" t="s">
        <v>75</v>
      </c>
      <c r="H46" s="169">
        <f>SUM(H47:H49)</f>
        <v>563318405</v>
      </c>
      <c r="I46" s="162"/>
      <c r="J46" s="160" t="s">
        <v>16</v>
      </c>
      <c r="K46" s="160" t="s">
        <v>17</v>
      </c>
      <c r="L46" s="163"/>
      <c r="M46" s="164"/>
      <c r="N46" s="165"/>
      <c r="O46" s="172"/>
      <c r="P46" s="167">
        <f>H46/H52*100</f>
        <v>4.787109183746689</v>
      </c>
      <c r="Q46" s="166">
        <v>15.333333333333334</v>
      </c>
      <c r="R46" s="166">
        <f>SUM(R47:R49)/3</f>
        <v>5</v>
      </c>
      <c r="S46" s="166">
        <f t="shared" si="2"/>
        <v>20.333333333333336</v>
      </c>
      <c r="T46" s="269">
        <f t="shared" si="3"/>
        <v>0.97337886736182677</v>
      </c>
      <c r="U46" s="168">
        <v>191167437</v>
      </c>
      <c r="V46" s="173">
        <f>SUM(V47:V49)</f>
        <v>67620000</v>
      </c>
      <c r="W46" s="173">
        <f t="shared" si="5"/>
        <v>258787437</v>
      </c>
      <c r="X46" s="166">
        <f t="shared" si="4"/>
        <v>45.939815689139429</v>
      </c>
      <c r="Y46" s="169">
        <f t="shared" si="1"/>
        <v>304530968</v>
      </c>
      <c r="Z46" s="170"/>
    </row>
    <row r="47" spans="1:26" ht="27.75" customHeight="1" x14ac:dyDescent="0.45">
      <c r="A47" s="6">
        <v>1</v>
      </c>
      <c r="B47" s="15" t="s">
        <v>72</v>
      </c>
      <c r="C47" s="35">
        <v>4</v>
      </c>
      <c r="D47" s="7" t="s">
        <v>42</v>
      </c>
      <c r="E47" s="16">
        <v>2</v>
      </c>
      <c r="F47" s="17" t="s">
        <v>83</v>
      </c>
      <c r="G47" s="9" t="s">
        <v>75</v>
      </c>
      <c r="H47" s="57">
        <v>443969600</v>
      </c>
      <c r="I47" s="19" t="s">
        <v>68</v>
      </c>
      <c r="J47" s="20" t="s">
        <v>16</v>
      </c>
      <c r="K47" s="20" t="s">
        <v>17</v>
      </c>
      <c r="L47" s="21"/>
      <c r="M47" s="22"/>
      <c r="N47" s="23"/>
      <c r="O47" s="31"/>
      <c r="P47" s="25">
        <f>H47/H52*100</f>
        <v>3.7728768146042451</v>
      </c>
      <c r="Q47" s="24">
        <v>44</v>
      </c>
      <c r="R47" s="24">
        <v>15</v>
      </c>
      <c r="S47" s="24">
        <f t="shared" si="2"/>
        <v>59</v>
      </c>
      <c r="T47" s="270">
        <f t="shared" si="3"/>
        <v>2.2259973206165045</v>
      </c>
      <c r="U47" s="26">
        <v>191167437</v>
      </c>
      <c r="V47" s="26">
        <f>67620000</f>
        <v>67620000</v>
      </c>
      <c r="W47" s="26">
        <f t="shared" si="5"/>
        <v>258787437</v>
      </c>
      <c r="X47" s="24">
        <f t="shared" si="4"/>
        <v>58.289449773137626</v>
      </c>
      <c r="Y47" s="28">
        <f t="shared" si="1"/>
        <v>185182163</v>
      </c>
      <c r="Z47" s="29"/>
    </row>
    <row r="48" spans="1:26" ht="26.25" customHeight="1" x14ac:dyDescent="0.45">
      <c r="A48" s="6">
        <v>1</v>
      </c>
      <c r="B48" s="15" t="s">
        <v>72</v>
      </c>
      <c r="C48" s="35">
        <v>4</v>
      </c>
      <c r="D48" s="7" t="s">
        <v>42</v>
      </c>
      <c r="E48" s="16">
        <v>7</v>
      </c>
      <c r="F48" s="17" t="s">
        <v>120</v>
      </c>
      <c r="G48" s="9" t="s">
        <v>75</v>
      </c>
      <c r="H48" s="291">
        <v>0</v>
      </c>
      <c r="I48" s="19" t="s">
        <v>68</v>
      </c>
      <c r="J48" s="20" t="s">
        <v>16</v>
      </c>
      <c r="K48" s="20" t="s">
        <v>17</v>
      </c>
      <c r="L48" s="21"/>
      <c r="M48" s="22"/>
      <c r="N48" s="23"/>
      <c r="O48" s="31"/>
      <c r="P48" s="25">
        <f>H48/H52*100</f>
        <v>0</v>
      </c>
      <c r="Q48" s="24">
        <v>0</v>
      </c>
      <c r="R48" s="24">
        <v>0</v>
      </c>
      <c r="S48" s="24">
        <f t="shared" si="2"/>
        <v>0</v>
      </c>
      <c r="T48" s="270">
        <f t="shared" si="3"/>
        <v>0</v>
      </c>
      <c r="U48" s="26">
        <v>0</v>
      </c>
      <c r="V48" s="26">
        <v>0</v>
      </c>
      <c r="W48" s="26">
        <f t="shared" si="5"/>
        <v>0</v>
      </c>
      <c r="X48" s="24">
        <v>0</v>
      </c>
      <c r="Y48" s="278">
        <f t="shared" si="1"/>
        <v>0</v>
      </c>
      <c r="Z48" s="29"/>
    </row>
    <row r="49" spans="1:26" ht="41.25" customHeight="1" x14ac:dyDescent="0.45">
      <c r="A49" s="6">
        <v>1</v>
      </c>
      <c r="B49" s="15" t="s">
        <v>72</v>
      </c>
      <c r="C49" s="35">
        <v>4</v>
      </c>
      <c r="D49" s="7" t="s">
        <v>42</v>
      </c>
      <c r="E49" s="16">
        <v>17</v>
      </c>
      <c r="F49" s="17" t="s">
        <v>121</v>
      </c>
      <c r="G49" s="9" t="s">
        <v>75</v>
      </c>
      <c r="H49" s="57">
        <v>119348805</v>
      </c>
      <c r="I49" s="19" t="s">
        <v>68</v>
      </c>
      <c r="J49" s="20" t="s">
        <v>16</v>
      </c>
      <c r="K49" s="20" t="s">
        <v>17</v>
      </c>
      <c r="L49" s="21"/>
      <c r="M49" s="22"/>
      <c r="N49" s="23"/>
      <c r="O49" s="31"/>
      <c r="P49" s="25">
        <f>H49/H52*100</f>
        <v>1.014232369142444</v>
      </c>
      <c r="Q49" s="24">
        <v>0</v>
      </c>
      <c r="R49" s="24">
        <v>0</v>
      </c>
      <c r="S49" s="24">
        <f t="shared" si="2"/>
        <v>0</v>
      </c>
      <c r="T49" s="270">
        <f t="shared" si="3"/>
        <v>0</v>
      </c>
      <c r="U49" s="26">
        <v>0</v>
      </c>
      <c r="V49" s="26">
        <v>0</v>
      </c>
      <c r="W49" s="26">
        <f t="shared" si="5"/>
        <v>0</v>
      </c>
      <c r="X49" s="24">
        <f t="shared" si="4"/>
        <v>0</v>
      </c>
      <c r="Y49" s="28">
        <f t="shared" si="1"/>
        <v>119348805</v>
      </c>
      <c r="Z49" s="29"/>
    </row>
    <row r="50" spans="1:26" ht="28.5" customHeight="1" x14ac:dyDescent="0.45">
      <c r="A50" s="154">
        <v>1</v>
      </c>
      <c r="B50" s="155" t="s">
        <v>72</v>
      </c>
      <c r="C50" s="174">
        <v>4</v>
      </c>
      <c r="D50" s="157" t="s">
        <v>106</v>
      </c>
      <c r="E50" s="157"/>
      <c r="F50" s="199" t="s">
        <v>84</v>
      </c>
      <c r="G50" s="160" t="s">
        <v>75</v>
      </c>
      <c r="H50" s="169">
        <f>SUM(H51)</f>
        <v>58077403</v>
      </c>
      <c r="I50" s="162"/>
      <c r="J50" s="160" t="s">
        <v>16</v>
      </c>
      <c r="K50" s="160" t="s">
        <v>17</v>
      </c>
      <c r="L50" s="163"/>
      <c r="M50" s="164"/>
      <c r="N50" s="165"/>
      <c r="O50" s="172"/>
      <c r="P50" s="167">
        <f>H50/H52*100</f>
        <v>0.49354479953385777</v>
      </c>
      <c r="Q50" s="166">
        <v>0</v>
      </c>
      <c r="R50" s="166">
        <f>R51</f>
        <v>0</v>
      </c>
      <c r="S50" s="166">
        <f t="shared" si="2"/>
        <v>0</v>
      </c>
      <c r="T50" s="269">
        <f t="shared" si="3"/>
        <v>0</v>
      </c>
      <c r="U50" s="168">
        <v>0</v>
      </c>
      <c r="V50" s="173">
        <f>SUM(V51)</f>
        <v>0</v>
      </c>
      <c r="W50" s="173">
        <f t="shared" si="5"/>
        <v>0</v>
      </c>
      <c r="X50" s="166">
        <f t="shared" si="4"/>
        <v>0</v>
      </c>
      <c r="Y50" s="169">
        <f t="shared" si="1"/>
        <v>58077403</v>
      </c>
      <c r="Z50" s="170"/>
    </row>
    <row r="51" spans="1:26" ht="54" customHeight="1" x14ac:dyDescent="0.45">
      <c r="A51" s="6">
        <v>1</v>
      </c>
      <c r="B51" s="15" t="s">
        <v>72</v>
      </c>
      <c r="C51" s="35">
        <v>4</v>
      </c>
      <c r="D51" s="7" t="s">
        <v>106</v>
      </c>
      <c r="E51" s="16">
        <v>1</v>
      </c>
      <c r="F51" s="17" t="s">
        <v>85</v>
      </c>
      <c r="G51" s="9" t="s">
        <v>75</v>
      </c>
      <c r="H51" s="57">
        <v>58077403</v>
      </c>
      <c r="I51" s="55" t="s">
        <v>87</v>
      </c>
      <c r="J51" s="20" t="s">
        <v>16</v>
      </c>
      <c r="K51" s="20" t="s">
        <v>17</v>
      </c>
      <c r="L51" s="21"/>
      <c r="M51" s="22"/>
      <c r="N51" s="23"/>
      <c r="O51" s="31"/>
      <c r="P51" s="25">
        <f>H51/H52*100</f>
        <v>0.49354479953385777</v>
      </c>
      <c r="Q51" s="24">
        <v>0</v>
      </c>
      <c r="R51" s="24">
        <v>0</v>
      </c>
      <c r="S51" s="24">
        <f t="shared" si="2"/>
        <v>0</v>
      </c>
      <c r="T51" s="270">
        <f t="shared" si="3"/>
        <v>0</v>
      </c>
      <c r="U51" s="26">
        <v>0</v>
      </c>
      <c r="V51" s="26">
        <v>0</v>
      </c>
      <c r="W51" s="26">
        <f t="shared" si="5"/>
        <v>0</v>
      </c>
      <c r="X51" s="24">
        <f t="shared" si="4"/>
        <v>0</v>
      </c>
      <c r="Y51" s="28">
        <f t="shared" si="1"/>
        <v>58077403</v>
      </c>
      <c r="Z51" s="29"/>
    </row>
    <row r="52" spans="1:26" s="75" customFormat="1" ht="24" customHeight="1" x14ac:dyDescent="0.45">
      <c r="A52" s="113"/>
      <c r="B52" s="114"/>
      <c r="C52" s="114"/>
      <c r="D52" s="114"/>
      <c r="E52" s="114"/>
      <c r="F52" s="369" t="s">
        <v>57</v>
      </c>
      <c r="G52" s="370"/>
      <c r="H52" s="290">
        <f>H15+H35+H45</f>
        <v>11767402484</v>
      </c>
      <c r="I52" s="116"/>
      <c r="J52" s="117"/>
      <c r="K52" s="117"/>
      <c r="L52" s="117"/>
      <c r="M52" s="117"/>
      <c r="N52" s="117"/>
      <c r="O52" s="118"/>
      <c r="P52" s="119">
        <f>H52/H52*100</f>
        <v>100</v>
      </c>
      <c r="Q52" s="120">
        <v>30.781111111111112</v>
      </c>
      <c r="R52" s="120">
        <f>R14</f>
        <v>4.8111111111111109</v>
      </c>
      <c r="S52" s="120">
        <f>S14</f>
        <v>35.592222222222226</v>
      </c>
      <c r="T52" s="120">
        <f>T14</f>
        <v>35.592222222222226</v>
      </c>
      <c r="U52" s="121">
        <v>4425125068</v>
      </c>
      <c r="V52" s="121">
        <f>V15+V35+V45</f>
        <v>771105539</v>
      </c>
      <c r="W52" s="121">
        <f t="shared" si="5"/>
        <v>5196230607</v>
      </c>
      <c r="X52" s="122">
        <f t="shared" si="4"/>
        <v>44.15783869095371</v>
      </c>
      <c r="Y52" s="123">
        <f t="shared" si="1"/>
        <v>6571171877</v>
      </c>
      <c r="Z52" s="117"/>
    </row>
    <row r="53" spans="1:26" x14ac:dyDescent="0.45">
      <c r="A53" s="58"/>
      <c r="B53" s="58"/>
      <c r="C53" s="58"/>
      <c r="D53" s="58"/>
      <c r="E53" s="58"/>
      <c r="F53" s="58"/>
      <c r="G53" s="58"/>
      <c r="H53" s="58"/>
      <c r="I53" s="59"/>
      <c r="J53" s="60"/>
      <c r="K53" s="58"/>
      <c r="L53" s="58"/>
      <c r="M53" s="58"/>
      <c r="N53" s="58"/>
      <c r="O53" s="61"/>
      <c r="P53" s="62"/>
      <c r="Q53" s="58"/>
      <c r="R53" s="58"/>
      <c r="S53" s="58"/>
      <c r="T53" s="58"/>
      <c r="U53" s="63"/>
      <c r="V53" s="63"/>
      <c r="W53" s="63"/>
      <c r="X53" s="58"/>
      <c r="Y53" s="58"/>
      <c r="Z53" s="58"/>
    </row>
    <row r="54" spans="1:26" x14ac:dyDescent="0.45">
      <c r="A54" s="58"/>
      <c r="B54" s="58"/>
      <c r="C54" s="58"/>
      <c r="D54" s="58"/>
      <c r="E54" s="58"/>
      <c r="F54" s="58"/>
      <c r="G54" s="58"/>
      <c r="H54" s="60"/>
      <c r="I54" s="64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63"/>
      <c r="V54" s="63"/>
      <c r="W54" s="63"/>
      <c r="X54" s="58"/>
      <c r="Y54" s="65"/>
      <c r="Z54" s="58"/>
    </row>
    <row r="55" spans="1:26" s="72" customFormat="1" ht="15" x14ac:dyDescent="0.45">
      <c r="I55" s="73"/>
      <c r="J55" s="83"/>
      <c r="V55" s="72" t="s">
        <v>138</v>
      </c>
    </row>
    <row r="56" spans="1:26" s="72" customFormat="1" ht="12.95" customHeight="1" x14ac:dyDescent="0.45">
      <c r="H56" s="73"/>
      <c r="I56" s="73"/>
      <c r="T56" s="284"/>
      <c r="V56" s="285"/>
      <c r="W56" s="285"/>
      <c r="X56" s="284"/>
      <c r="Y56" s="286"/>
    </row>
    <row r="57" spans="1:26" s="72" customFormat="1" ht="13.5" customHeight="1" x14ac:dyDescent="0.45">
      <c r="F57" s="289">
        <f>508835656+72500000+189769883</f>
        <v>771105539</v>
      </c>
      <c r="I57" s="73"/>
      <c r="O57" s="371"/>
      <c r="P57" s="371"/>
      <c r="V57" s="72" t="s">
        <v>88</v>
      </c>
    </row>
    <row r="58" spans="1:26" s="72" customFormat="1" ht="13.5" customHeight="1" x14ac:dyDescent="0.45">
      <c r="I58" s="73"/>
      <c r="V58" s="72" t="s">
        <v>27</v>
      </c>
    </row>
    <row r="59" spans="1:26" s="72" customFormat="1" ht="13.5" customHeight="1" x14ac:dyDescent="0.45">
      <c r="I59" s="73"/>
    </row>
    <row r="60" spans="1:26" s="72" customFormat="1" ht="13.5" customHeight="1" x14ac:dyDescent="0.45">
      <c r="I60" s="73"/>
      <c r="V60" s="284"/>
      <c r="W60" s="285"/>
      <c r="X60" s="284"/>
      <c r="Y60" s="287"/>
    </row>
    <row r="61" spans="1:26" s="72" customFormat="1" ht="13.5" customHeight="1" x14ac:dyDescent="0.45">
      <c r="I61" s="73"/>
      <c r="V61" s="284"/>
      <c r="W61" s="285"/>
      <c r="X61" s="284"/>
      <c r="Y61" s="284"/>
    </row>
    <row r="62" spans="1:26" s="72" customFormat="1" ht="13.5" customHeight="1" x14ac:dyDescent="0.45">
      <c r="I62" s="73"/>
      <c r="V62" s="284"/>
      <c r="W62" s="285"/>
      <c r="X62" s="284"/>
      <c r="Y62" s="284"/>
    </row>
    <row r="63" spans="1:26" s="72" customFormat="1" ht="13.5" customHeight="1" x14ac:dyDescent="0.45">
      <c r="I63" s="73"/>
      <c r="V63" s="72" t="s">
        <v>89</v>
      </c>
    </row>
    <row r="64" spans="1:26" s="72" customFormat="1" ht="13.5" customHeight="1" x14ac:dyDescent="0.45">
      <c r="I64" s="73"/>
      <c r="V64" s="72" t="s">
        <v>63</v>
      </c>
    </row>
    <row r="65" spans="9:25" s="72" customFormat="1" ht="13.5" customHeight="1" x14ac:dyDescent="0.45">
      <c r="I65" s="73"/>
      <c r="V65" s="72" t="s">
        <v>90</v>
      </c>
    </row>
    <row r="66" spans="9:25" s="72" customFormat="1" ht="15" x14ac:dyDescent="0.45">
      <c r="T66" s="284"/>
      <c r="U66" s="284"/>
      <c r="V66" s="284"/>
      <c r="W66" s="284"/>
      <c r="X66" s="284"/>
      <c r="Y66" s="284"/>
    </row>
    <row r="67" spans="9:25" s="72" customFormat="1" ht="15" x14ac:dyDescent="0.45"/>
  </sheetData>
  <mergeCells count="31">
    <mergeCell ref="A1:Z1"/>
    <mergeCell ref="A2:Z2"/>
    <mergeCell ref="A3:Z3"/>
    <mergeCell ref="X6:Z6"/>
    <mergeCell ref="A8:E8"/>
    <mergeCell ref="F8:F11"/>
    <mergeCell ref="G8:G11"/>
    <mergeCell ref="H8:H11"/>
    <mergeCell ref="I8:I11"/>
    <mergeCell ref="J8:K9"/>
    <mergeCell ref="Y8:Y11"/>
    <mergeCell ref="Z8:Z11"/>
    <mergeCell ref="A9:A11"/>
    <mergeCell ref="B9:B11"/>
    <mergeCell ref="C9:C11"/>
    <mergeCell ref="D9:D11"/>
    <mergeCell ref="U9:X9"/>
    <mergeCell ref="J10:J11"/>
    <mergeCell ref="L8:L11"/>
    <mergeCell ref="M8:M11"/>
    <mergeCell ref="N8:N11"/>
    <mergeCell ref="O8:O11"/>
    <mergeCell ref="P8:P11"/>
    <mergeCell ref="Q8:X8"/>
    <mergeCell ref="K10:K11"/>
    <mergeCell ref="W10:X10"/>
    <mergeCell ref="A12:E12"/>
    <mergeCell ref="F52:G52"/>
    <mergeCell ref="O57:P57"/>
    <mergeCell ref="E9:E11"/>
    <mergeCell ref="Q9:T9"/>
  </mergeCells>
  <pageMargins left="0.31496062992125984" right="0.11811023622047245" top="0.23622047244094491" bottom="0.15748031496062992" header="0.19685039370078741" footer="0.11811023622047245"/>
  <pageSetup paperSize="9" scale="5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Kontrol (2)</vt:lpstr>
      <vt:lpstr>JANUARI</vt:lpstr>
      <vt:lpstr>PEBRUARI</vt:lpstr>
      <vt:lpstr>MARET</vt:lpstr>
      <vt:lpstr>APRIL</vt:lpstr>
      <vt:lpstr>MEI</vt:lpstr>
      <vt:lpstr>JUNI</vt:lpstr>
      <vt:lpstr>JULI</vt:lpstr>
      <vt:lpstr>AGUSTUS</vt:lpstr>
      <vt:lpstr>SEPTEMBER</vt:lpstr>
      <vt:lpstr>OKTOBER</vt:lpstr>
      <vt:lpstr>NOPEMBER</vt:lpstr>
      <vt:lpstr>DESEMBER</vt:lpstr>
      <vt:lpstr>AGUS 2</vt:lpstr>
      <vt:lpstr>JANUARI!Print_Titles</vt:lpstr>
      <vt:lpstr>MARET!Print_Titles</vt:lpstr>
      <vt:lpstr>PEBRUARI!Print_Titles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 Vivobook</cp:lastModifiedBy>
  <cp:lastPrinted>2026-06-10T09:03:50Z</cp:lastPrinted>
  <dcterms:created xsi:type="dcterms:W3CDTF">2018-06-06T13:35:47Z</dcterms:created>
  <dcterms:modified xsi:type="dcterms:W3CDTF">2026-07-17T03:38:27Z</dcterms:modified>
</cp:coreProperties>
</file>